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93A6308-DC87-4089-8938-0C3DBDACA5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ckblatt" sheetId="1" r:id="rId1"/>
    <sheet name="Gruppe A" sheetId="2" r:id="rId2"/>
    <sheet name="Gruppe B" sheetId="3" r:id="rId3"/>
    <sheet name="Gruppe C" sheetId="4" r:id="rId4"/>
    <sheet name="Gruppe D" sheetId="5" r:id="rId5"/>
    <sheet name="Euro-Cup" sheetId="6" r:id="rId6"/>
    <sheet name="Meister-Cup" sheetId="7" r:id="rId7"/>
  </sheets>
  <definedNames>
    <definedName name="_xlnm.Print_Area" localSheetId="0">Deckblatt!$A$1:$AX$46</definedName>
    <definedName name="_xlnm.Print_Area" localSheetId="5">'Euro-Cup'!$A$1:$AX$136</definedName>
    <definedName name="_xlnm.Print_Area" localSheetId="1">'Gruppe A'!$A$1:$AX$45</definedName>
    <definedName name="_xlnm.Print_Area" localSheetId="2">'Gruppe B'!$A$1:$AX$45</definedName>
    <definedName name="_xlnm.Print_Area" localSheetId="3">'Gruppe C'!$A$1:$AX$45</definedName>
    <definedName name="_xlnm.Print_Area" localSheetId="4">'Gruppe D'!$A$1:$AX$45</definedName>
    <definedName name="_xlnm.Print_Area" localSheetId="6">'Meister-Cup'!$A$1:$AX$134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N18" i="3"/>
  <c r="Q3" i="7" l="1"/>
  <c r="Q3" i="6"/>
  <c r="Q3" i="5"/>
  <c r="Q3" i="4"/>
  <c r="Q3" i="3"/>
  <c r="Q3" i="2"/>
  <c r="BC115" i="7" l="1"/>
  <c r="BA115" i="7"/>
  <c r="BC111" i="7"/>
  <c r="BA111" i="7"/>
  <c r="BC107" i="7"/>
  <c r="BA107" i="7"/>
  <c r="BC103" i="7"/>
  <c r="BA103" i="7"/>
  <c r="BC99" i="7"/>
  <c r="BA99" i="7"/>
  <c r="BC95" i="7"/>
  <c r="BA95" i="7"/>
  <c r="BC88" i="7"/>
  <c r="BA88" i="7"/>
  <c r="BC84" i="7"/>
  <c r="BA84" i="7"/>
  <c r="BC80" i="7"/>
  <c r="BA80" i="7"/>
  <c r="BC76" i="7"/>
  <c r="BA76" i="7"/>
  <c r="BC72" i="7"/>
  <c r="BA72" i="7"/>
  <c r="BC68" i="7"/>
  <c r="BA68" i="7"/>
  <c r="BC64" i="7"/>
  <c r="BA64" i="7"/>
  <c r="BC60" i="7"/>
  <c r="BA60" i="7"/>
  <c r="BC56" i="7"/>
  <c r="BA56" i="7"/>
  <c r="BC52" i="7"/>
  <c r="BA52" i="7"/>
  <c r="F52" i="7"/>
  <c r="F56" i="7" s="1"/>
  <c r="J52" i="6"/>
  <c r="BC35" i="7"/>
  <c r="BA35" i="7"/>
  <c r="BC34" i="7"/>
  <c r="BA34" i="7"/>
  <c r="BC33" i="7"/>
  <c r="BA33" i="7"/>
  <c r="BC32" i="7"/>
  <c r="BA32" i="7"/>
  <c r="BC31" i="7"/>
  <c r="BA31" i="7"/>
  <c r="BC30" i="7"/>
  <c r="BA30" i="7"/>
  <c r="BC29" i="7"/>
  <c r="BA29" i="7"/>
  <c r="BC28" i="7"/>
  <c r="BA28" i="7"/>
  <c r="BC27" i="7"/>
  <c r="BA27" i="7"/>
  <c r="BC26" i="7"/>
  <c r="BA26" i="7"/>
  <c r="BC25" i="7"/>
  <c r="BA25" i="7"/>
  <c r="BC24" i="7"/>
  <c r="BA24" i="7"/>
  <c r="BC115" i="6"/>
  <c r="BA115" i="6"/>
  <c r="BC111" i="6"/>
  <c r="BA111" i="6"/>
  <c r="BC107" i="6"/>
  <c r="BA107" i="6"/>
  <c r="BC103" i="6"/>
  <c r="BA103" i="6"/>
  <c r="BC99" i="6"/>
  <c r="BA99" i="6"/>
  <c r="BC95" i="6"/>
  <c r="BA95" i="6"/>
  <c r="BC88" i="6"/>
  <c r="BA88" i="6"/>
  <c r="BC84" i="6"/>
  <c r="BA84" i="6"/>
  <c r="BC80" i="6"/>
  <c r="BA80" i="6"/>
  <c r="BC76" i="6"/>
  <c r="BA76" i="6"/>
  <c r="BC72" i="6"/>
  <c r="BA72" i="6"/>
  <c r="BC68" i="6"/>
  <c r="BA68" i="6"/>
  <c r="BC64" i="6"/>
  <c r="BA64" i="6"/>
  <c r="BC60" i="6"/>
  <c r="BA60" i="6"/>
  <c r="BC56" i="6"/>
  <c r="BA56" i="6"/>
  <c r="BC52" i="6"/>
  <c r="BC24" i="6"/>
  <c r="BA52" i="6"/>
  <c r="BA24" i="6"/>
  <c r="F60" i="7" l="1"/>
  <c r="BI46" i="5"/>
  <c r="BJ17" i="7" s="1"/>
  <c r="BI46" i="4"/>
  <c r="BI46" i="3"/>
  <c r="BH17" i="7" s="1"/>
  <c r="BI46" i="2"/>
  <c r="BH17" i="6" l="1"/>
  <c r="C14" i="6" s="1"/>
  <c r="BG22" i="6" s="1"/>
  <c r="F64" i="7"/>
  <c r="F68" i="7"/>
  <c r="AE13" i="6"/>
  <c r="BG25" i="6" s="1"/>
  <c r="AE13" i="7"/>
  <c r="BG25" i="7" s="1"/>
  <c r="C14" i="7"/>
  <c r="BG22" i="7" s="1"/>
  <c r="AE20" i="7"/>
  <c r="BG35" i="7" s="1"/>
  <c r="C19" i="7"/>
  <c r="BG30" i="7" s="1"/>
  <c r="AE15" i="7"/>
  <c r="BG27" i="7" s="1"/>
  <c r="AE18" i="7"/>
  <c r="BG33" i="7" s="1"/>
  <c r="AE20" i="6"/>
  <c r="BG35" i="6" s="1"/>
  <c r="BJ17" i="6"/>
  <c r="BG17" i="6"/>
  <c r="BG17" i="7"/>
  <c r="BI17" i="6"/>
  <c r="C18" i="6" s="1"/>
  <c r="BG29" i="6" s="1"/>
  <c r="BI17" i="7"/>
  <c r="BE36" i="5"/>
  <c r="BC36" i="5"/>
  <c r="BE35" i="5"/>
  <c r="BC35" i="5"/>
  <c r="BE34" i="5"/>
  <c r="BC34" i="5"/>
  <c r="BE33" i="5"/>
  <c r="BC33" i="5"/>
  <c r="BE32" i="5"/>
  <c r="BC32" i="5"/>
  <c r="BE31" i="5"/>
  <c r="BC31" i="5"/>
  <c r="BE30" i="5"/>
  <c r="BC30" i="5"/>
  <c r="BE29" i="5"/>
  <c r="BC29" i="5"/>
  <c r="BE28" i="5"/>
  <c r="BC28" i="5"/>
  <c r="BE27" i="5"/>
  <c r="BC27" i="5"/>
  <c r="BE26" i="5"/>
  <c r="BC26" i="5"/>
  <c r="BE25" i="5"/>
  <c r="BC25" i="5"/>
  <c r="BE24" i="5"/>
  <c r="BC24" i="5"/>
  <c r="BE23" i="5"/>
  <c r="BC23" i="5"/>
  <c r="BE22" i="5"/>
  <c r="BC22" i="5"/>
  <c r="BE36" i="4"/>
  <c r="BC36" i="4"/>
  <c r="BE35" i="4"/>
  <c r="BC35" i="4"/>
  <c r="BE34" i="4"/>
  <c r="BC34" i="4"/>
  <c r="BE33" i="4"/>
  <c r="BC33" i="4"/>
  <c r="BE32" i="4"/>
  <c r="BC32" i="4"/>
  <c r="BE31" i="4"/>
  <c r="BC31" i="4"/>
  <c r="BE30" i="4"/>
  <c r="BC30" i="4"/>
  <c r="BE29" i="4"/>
  <c r="BC29" i="4"/>
  <c r="BE28" i="4"/>
  <c r="BC28" i="4"/>
  <c r="BE27" i="4"/>
  <c r="BC27" i="4"/>
  <c r="BE26" i="4"/>
  <c r="BC26" i="4"/>
  <c r="BE25" i="4"/>
  <c r="BC25" i="4"/>
  <c r="BE24" i="4"/>
  <c r="BC24" i="4"/>
  <c r="BE23" i="4"/>
  <c r="BC23" i="4"/>
  <c r="BE22" i="4"/>
  <c r="BC22" i="4"/>
  <c r="BE36" i="3"/>
  <c r="BC36" i="3"/>
  <c r="BE35" i="3"/>
  <c r="BC35" i="3"/>
  <c r="BE34" i="3"/>
  <c r="BC34" i="3"/>
  <c r="BE33" i="3"/>
  <c r="BC33" i="3"/>
  <c r="BE32" i="3"/>
  <c r="BC32" i="3"/>
  <c r="BE31" i="3"/>
  <c r="BC31" i="3"/>
  <c r="BE30" i="3"/>
  <c r="BC30" i="3"/>
  <c r="BE29" i="3"/>
  <c r="BC29" i="3"/>
  <c r="BE28" i="3"/>
  <c r="BC28" i="3"/>
  <c r="BE27" i="3"/>
  <c r="BC27" i="3"/>
  <c r="BE26" i="3"/>
  <c r="BC26" i="3"/>
  <c r="BE25" i="3"/>
  <c r="BC25" i="3"/>
  <c r="BE24" i="3"/>
  <c r="BC24" i="3"/>
  <c r="BE23" i="3"/>
  <c r="BC23" i="3"/>
  <c r="BE22" i="3"/>
  <c r="BC22" i="3"/>
  <c r="C18" i="7" l="1"/>
  <c r="BG29" i="7" s="1"/>
  <c r="AE14" i="7"/>
  <c r="BG26" i="7" s="1"/>
  <c r="C15" i="7"/>
  <c r="BG23" i="7" s="1"/>
  <c r="C19" i="6"/>
  <c r="BG30" i="6" s="1"/>
  <c r="AE15" i="6"/>
  <c r="BG27" i="6" s="1"/>
  <c r="AE18" i="6"/>
  <c r="BG33" i="6" s="1"/>
  <c r="F72" i="7"/>
  <c r="F76" i="7"/>
  <c r="BC25" i="6"/>
  <c r="BC26" i="6"/>
  <c r="BC27" i="6"/>
  <c r="BC28" i="6"/>
  <c r="BC29" i="6"/>
  <c r="BC30" i="6"/>
  <c r="BC31" i="6"/>
  <c r="BC32" i="6"/>
  <c r="BC33" i="6"/>
  <c r="BC34" i="6"/>
  <c r="BC35" i="6"/>
  <c r="BA25" i="6"/>
  <c r="BA26" i="6"/>
  <c r="BA27" i="6"/>
  <c r="BA28" i="6"/>
  <c r="BA29" i="6"/>
  <c r="BA30" i="6"/>
  <c r="BA31" i="6"/>
  <c r="BA32" i="6"/>
  <c r="BA33" i="6"/>
  <c r="BA34" i="6"/>
  <c r="BA35" i="6"/>
  <c r="BC22" i="2"/>
  <c r="F80" i="7" l="1"/>
  <c r="F84" i="7"/>
  <c r="Z35" i="7"/>
  <c r="I34" i="7"/>
  <c r="Z33" i="7"/>
  <c r="I33" i="7"/>
  <c r="Z32" i="7"/>
  <c r="I32" i="7"/>
  <c r="Z31" i="7"/>
  <c r="I31" i="7"/>
  <c r="Z30" i="7"/>
  <c r="Z29" i="7"/>
  <c r="I29" i="7"/>
  <c r="I28" i="7"/>
  <c r="I27" i="7"/>
  <c r="Z26" i="7"/>
  <c r="I26" i="7"/>
  <c r="Z25" i="7"/>
  <c r="I25" i="7"/>
  <c r="Z24" i="7"/>
  <c r="D24" i="7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F52" i="6"/>
  <c r="F60" i="6" s="1"/>
  <c r="F88" i="7" l="1"/>
  <c r="F95" i="7"/>
  <c r="F68" i="6"/>
  <c r="F76" i="6" s="1"/>
  <c r="F80" i="6" s="1"/>
  <c r="F64" i="6"/>
  <c r="F56" i="6"/>
  <c r="F72" i="6" l="1"/>
  <c r="F103" i="7"/>
  <c r="F99" i="7"/>
  <c r="F84" i="6"/>
  <c r="F95" i="6" s="1"/>
  <c r="F107" i="7" l="1"/>
  <c r="F111" i="7"/>
  <c r="F115" i="7" s="1"/>
  <c r="AB111" i="6"/>
  <c r="H121" i="6" s="1"/>
  <c r="F103" i="6"/>
  <c r="F99" i="6"/>
  <c r="F88" i="6"/>
  <c r="Z35" i="6"/>
  <c r="Z33" i="6"/>
  <c r="Z31" i="6"/>
  <c r="Z30" i="6"/>
  <c r="Z29" i="6"/>
  <c r="Z26" i="6"/>
  <c r="Z24" i="6"/>
  <c r="I34" i="6"/>
  <c r="I32" i="6"/>
  <c r="I31" i="6"/>
  <c r="I29" i="6"/>
  <c r="I27" i="6"/>
  <c r="I26" i="6"/>
  <c r="I25" i="6"/>
  <c r="D24" i="6"/>
  <c r="D25" i="6" s="1"/>
  <c r="F111" i="6" l="1"/>
  <c r="F115" i="6" s="1"/>
  <c r="F107" i="6"/>
  <c r="D26" i="6"/>
  <c r="D27" i="6" l="1"/>
  <c r="D28" i="6" s="1"/>
  <c r="D29" i="6" l="1"/>
  <c r="D30" i="6" s="1"/>
  <c r="N14" i="5"/>
  <c r="BI23" i="5" s="1"/>
  <c r="N15" i="5"/>
  <c r="BI24" i="5" s="1"/>
  <c r="N16" i="5"/>
  <c r="BI25" i="5" s="1"/>
  <c r="N17" i="5"/>
  <c r="BI26" i="5" s="1"/>
  <c r="N18" i="5"/>
  <c r="BI27" i="5" s="1"/>
  <c r="N13" i="5"/>
  <c r="BI22" i="5" s="1"/>
  <c r="D22" i="5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N14" i="4"/>
  <c r="BI23" i="4" s="1"/>
  <c r="N15" i="4"/>
  <c r="BI24" i="4" s="1"/>
  <c r="N16" i="4"/>
  <c r="BI25" i="4" s="1"/>
  <c r="BI26" i="4"/>
  <c r="N18" i="4"/>
  <c r="BI27" i="4" s="1"/>
  <c r="N13" i="4"/>
  <c r="BI22" i="4" s="1"/>
  <c r="D22" i="4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Z29" i="4" l="1"/>
  <c r="Z36" i="4"/>
  <c r="I30" i="5"/>
  <c r="Z33" i="5"/>
  <c r="Z36" i="5"/>
  <c r="I36" i="5"/>
  <c r="I27" i="5"/>
  <c r="Z25" i="5"/>
  <c r="I33" i="5"/>
  <c r="Z30" i="5"/>
  <c r="Z22" i="5"/>
  <c r="I35" i="5"/>
  <c r="Z28" i="5"/>
  <c r="I22" i="5"/>
  <c r="I34" i="4"/>
  <c r="Z33" i="4"/>
  <c r="I33" i="4"/>
  <c r="Z32" i="4"/>
  <c r="I29" i="4"/>
  <c r="I26" i="4"/>
  <c r="Z28" i="4"/>
  <c r="I22" i="4"/>
  <c r="D31" i="6"/>
  <c r="D32" i="6" s="1"/>
  <c r="D33" i="6" s="1"/>
  <c r="D34" i="6" s="1"/>
  <c r="D35" i="6" s="1"/>
  <c r="I24" i="5"/>
  <c r="Z27" i="5"/>
  <c r="I32" i="5"/>
  <c r="Z35" i="5"/>
  <c r="Z24" i="5"/>
  <c r="I29" i="5"/>
  <c r="Z32" i="5"/>
  <c r="I26" i="5"/>
  <c r="Z29" i="5"/>
  <c r="I34" i="5"/>
  <c r="I23" i="5"/>
  <c r="Z26" i="5"/>
  <c r="I31" i="5"/>
  <c r="Z34" i="5"/>
  <c r="Z23" i="5"/>
  <c r="I28" i="5"/>
  <c r="Z31" i="5"/>
  <c r="I25" i="5"/>
  <c r="I30" i="4"/>
  <c r="Z24" i="4"/>
  <c r="Z25" i="4"/>
  <c r="Z22" i="4"/>
  <c r="I27" i="4"/>
  <c r="Z30" i="4"/>
  <c r="I35" i="4"/>
  <c r="I24" i="4"/>
  <c r="Z27" i="4"/>
  <c r="I32" i="4"/>
  <c r="Z35" i="4"/>
  <c r="I23" i="4"/>
  <c r="Z26" i="4"/>
  <c r="I31" i="4"/>
  <c r="Z34" i="4"/>
  <c r="Z23" i="4"/>
  <c r="I28" i="4"/>
  <c r="Z31" i="4"/>
  <c r="I36" i="4"/>
  <c r="I25" i="4"/>
  <c r="BJ22" i="4" l="1"/>
  <c r="BL22" i="5"/>
  <c r="BK22" i="4"/>
  <c r="BL22" i="4"/>
  <c r="BJ22" i="5"/>
  <c r="BK22" i="5"/>
  <c r="BJ23" i="5"/>
  <c r="BK24" i="5"/>
  <c r="BL26" i="5"/>
  <c r="BK26" i="5"/>
  <c r="BJ27" i="5"/>
  <c r="BK27" i="5"/>
  <c r="BJ26" i="5"/>
  <c r="BJ24" i="5"/>
  <c r="BL24" i="5"/>
  <c r="BJ25" i="5"/>
  <c r="BL27" i="5"/>
  <c r="BL23" i="5"/>
  <c r="BL25" i="5"/>
  <c r="BK25" i="5"/>
  <c r="BK23" i="5"/>
  <c r="BK25" i="4"/>
  <c r="BK24" i="4"/>
  <c r="BK26" i="4"/>
  <c r="BL25" i="4"/>
  <c r="BJ23" i="4"/>
  <c r="BL26" i="4"/>
  <c r="BJ27" i="4"/>
  <c r="BK23" i="4"/>
  <c r="BJ25" i="4"/>
  <c r="BL27" i="4"/>
  <c r="BL23" i="4"/>
  <c r="BK27" i="4"/>
  <c r="BL24" i="4"/>
  <c r="BJ26" i="4"/>
  <c r="BJ24" i="4"/>
  <c r="BI27" i="3"/>
  <c r="N17" i="3"/>
  <c r="BI26" i="3" s="1"/>
  <c r="N16" i="3"/>
  <c r="N15" i="3"/>
  <c r="N14" i="3"/>
  <c r="BI23" i="3" s="1"/>
  <c r="N13" i="3"/>
  <c r="D23" i="3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22" i="3"/>
  <c r="BM22" i="5" l="1"/>
  <c r="BN22" i="5" s="1"/>
  <c r="BM22" i="4"/>
  <c r="BN22" i="4" s="1"/>
  <c r="BM23" i="5"/>
  <c r="BN23" i="5" s="1"/>
  <c r="BM26" i="5"/>
  <c r="BN26" i="5" s="1"/>
  <c r="BM26" i="4"/>
  <c r="BN26" i="4" s="1"/>
  <c r="BM25" i="5"/>
  <c r="BN25" i="5" s="1"/>
  <c r="BM27" i="5"/>
  <c r="BN27" i="5" s="1"/>
  <c r="BM24" i="5"/>
  <c r="BN24" i="5" s="1"/>
  <c r="BM23" i="4"/>
  <c r="BN23" i="4" s="1"/>
  <c r="BM27" i="4"/>
  <c r="BN27" i="4" s="1"/>
  <c r="BM24" i="4"/>
  <c r="BN24" i="4" s="1"/>
  <c r="BM25" i="4"/>
  <c r="BN25" i="4" s="1"/>
  <c r="Z36" i="3"/>
  <c r="I36" i="3"/>
  <c r="BI25" i="3"/>
  <c r="I33" i="3"/>
  <c r="BI24" i="3"/>
  <c r="Z22" i="3"/>
  <c r="Z28" i="3"/>
  <c r="BI22" i="3"/>
  <c r="I27" i="3"/>
  <c r="I35" i="3"/>
  <c r="I22" i="3"/>
  <c r="Z25" i="3"/>
  <c r="I30" i="3"/>
  <c r="Z33" i="3"/>
  <c r="I24" i="3"/>
  <c r="Z27" i="3"/>
  <c r="I32" i="3"/>
  <c r="Z35" i="3"/>
  <c r="Z24" i="3"/>
  <c r="I29" i="3"/>
  <c r="Z32" i="3"/>
  <c r="Z30" i="3"/>
  <c r="I26" i="3"/>
  <c r="Z29" i="3"/>
  <c r="I34" i="3"/>
  <c r="I23" i="3"/>
  <c r="Z26" i="3"/>
  <c r="I31" i="3"/>
  <c r="Z34" i="3"/>
  <c r="Z23" i="3"/>
  <c r="I28" i="3"/>
  <c r="Z31" i="3"/>
  <c r="I25" i="3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D22" i="2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N14" i="2"/>
  <c r="I29" i="2" s="1"/>
  <c r="N15" i="2"/>
  <c r="Z25" i="2" s="1"/>
  <c r="N16" i="2"/>
  <c r="I36" i="2" s="1"/>
  <c r="N17" i="2"/>
  <c r="Z36" i="2" s="1"/>
  <c r="N18" i="2"/>
  <c r="BI27" i="2" s="1"/>
  <c r="N13" i="2"/>
  <c r="I25" i="2" s="1"/>
  <c r="BH24" i="5" l="1"/>
  <c r="BG24" i="5" s="1"/>
  <c r="BH22" i="5"/>
  <c r="BH23" i="5"/>
  <c r="BG23" i="5" s="1"/>
  <c r="BH25" i="5"/>
  <c r="BG25" i="5" s="1"/>
  <c r="BH26" i="5"/>
  <c r="BG26" i="5" s="1"/>
  <c r="BH27" i="5"/>
  <c r="BG27" i="5" s="1"/>
  <c r="BH24" i="4"/>
  <c r="BG24" i="4" s="1"/>
  <c r="BH27" i="4"/>
  <c r="BG27" i="4" s="1"/>
  <c r="BH26" i="4"/>
  <c r="BG26" i="4" s="1"/>
  <c r="BH25" i="4"/>
  <c r="BG25" i="4" s="1"/>
  <c r="BH23" i="4"/>
  <c r="BG23" i="4" s="1"/>
  <c r="BH22" i="4"/>
  <c r="BK26" i="3"/>
  <c r="BK27" i="3"/>
  <c r="BJ26" i="3"/>
  <c r="BL24" i="3"/>
  <c r="BJ25" i="3"/>
  <c r="BK25" i="3"/>
  <c r="BJ27" i="3"/>
  <c r="BL23" i="3"/>
  <c r="BJ24" i="3"/>
  <c r="BL27" i="3"/>
  <c r="BL25" i="3"/>
  <c r="BK23" i="3"/>
  <c r="BK24" i="3"/>
  <c r="BJ23" i="3"/>
  <c r="BL26" i="3"/>
  <c r="BJ22" i="3"/>
  <c r="BK22" i="3"/>
  <c r="BL22" i="3"/>
  <c r="Z34" i="2"/>
  <c r="Z27" i="2"/>
  <c r="I33" i="2"/>
  <c r="BI25" i="2"/>
  <c r="I23" i="2"/>
  <c r="I31" i="2"/>
  <c r="Z29" i="2"/>
  <c r="I34" i="2"/>
  <c r="BI23" i="2"/>
  <c r="Z28" i="2"/>
  <c r="I27" i="2"/>
  <c r="Z32" i="2"/>
  <c r="BI26" i="2"/>
  <c r="I22" i="2"/>
  <c r="I28" i="2"/>
  <c r="Z33" i="2"/>
  <c r="BI24" i="2"/>
  <c r="Z23" i="2"/>
  <c r="I26" i="2"/>
  <c r="I30" i="2"/>
  <c r="I35" i="2"/>
  <c r="Z22" i="2"/>
  <c r="I24" i="2"/>
  <c r="Z30" i="2"/>
  <c r="Z35" i="2"/>
  <c r="Z24" i="2"/>
  <c r="Z31" i="2"/>
  <c r="BI22" i="2"/>
  <c r="Z26" i="2"/>
  <c r="I32" i="2"/>
  <c r="BK27" i="2" l="1"/>
  <c r="BJ23" i="2"/>
  <c r="BM24" i="3"/>
  <c r="BG22" i="5"/>
  <c r="AJ40" i="5"/>
  <c r="J40" i="5"/>
  <c r="AJ42" i="5"/>
  <c r="AJ45" i="5"/>
  <c r="AJ41" i="5"/>
  <c r="AJ44" i="5"/>
  <c r="J42" i="5"/>
  <c r="J45" i="5"/>
  <c r="AG43" i="5"/>
  <c r="BI45" i="5"/>
  <c r="AG40" i="5"/>
  <c r="J41" i="5"/>
  <c r="AM41" i="5"/>
  <c r="J43" i="5"/>
  <c r="J44" i="5"/>
  <c r="AG44" i="5"/>
  <c r="AM44" i="5"/>
  <c r="AG45" i="5"/>
  <c r="BI44" i="5"/>
  <c r="AM42" i="5"/>
  <c r="AG41" i="5"/>
  <c r="BI42" i="5"/>
  <c r="AJ43" i="5"/>
  <c r="AG42" i="5"/>
  <c r="AM40" i="5"/>
  <c r="BI43" i="5"/>
  <c r="AM45" i="5"/>
  <c r="BI41" i="5"/>
  <c r="BI40" i="5"/>
  <c r="AM43" i="5"/>
  <c r="BM26" i="3"/>
  <c r="BN26" i="3" s="1"/>
  <c r="AJ40" i="4"/>
  <c r="AM40" i="4"/>
  <c r="BI40" i="4"/>
  <c r="J43" i="4"/>
  <c r="AG43" i="4"/>
  <c r="AJ45" i="4"/>
  <c r="AM44" i="4"/>
  <c r="AJ42" i="4"/>
  <c r="AM41" i="4"/>
  <c r="AM42" i="4"/>
  <c r="BG22" i="4"/>
  <c r="AM43" i="4"/>
  <c r="AG42" i="4"/>
  <c r="J44" i="4"/>
  <c r="AG45" i="4"/>
  <c r="AM45" i="4"/>
  <c r="BI42" i="4"/>
  <c r="BI41" i="4"/>
  <c r="J40" i="4"/>
  <c r="AJ43" i="4"/>
  <c r="AO43" i="4" s="1"/>
  <c r="J45" i="4"/>
  <c r="AJ41" i="4"/>
  <c r="BI43" i="4"/>
  <c r="J42" i="4"/>
  <c r="AG40" i="4"/>
  <c r="BI45" i="4"/>
  <c r="AJ44" i="4"/>
  <c r="J41" i="4"/>
  <c r="BI44" i="4"/>
  <c r="AG41" i="4"/>
  <c r="AG44" i="4"/>
  <c r="BN24" i="3"/>
  <c r="BM22" i="3"/>
  <c r="BN22" i="3" s="1"/>
  <c r="BM23" i="3"/>
  <c r="BN23" i="3" s="1"/>
  <c r="BM25" i="3"/>
  <c r="BN25" i="3" s="1"/>
  <c r="BM27" i="3"/>
  <c r="BN27" i="3" s="1"/>
  <c r="BJ22" i="2"/>
  <c r="BK22" i="2"/>
  <c r="BL27" i="2"/>
  <c r="BJ25" i="2"/>
  <c r="BL26" i="2"/>
  <c r="BK26" i="2"/>
  <c r="BJ26" i="2"/>
  <c r="BK25" i="2"/>
  <c r="BL25" i="2"/>
  <c r="BJ27" i="2"/>
  <c r="BL22" i="2"/>
  <c r="BL24" i="2"/>
  <c r="BK24" i="2"/>
  <c r="BL23" i="2"/>
  <c r="BK23" i="2"/>
  <c r="BJ24" i="2"/>
  <c r="BM27" i="2" l="1"/>
  <c r="AO41" i="4"/>
  <c r="AO44" i="5"/>
  <c r="AO40" i="4"/>
  <c r="AO43" i="5"/>
  <c r="BJ13" i="6"/>
  <c r="BJ13" i="7"/>
  <c r="BJ11" i="6"/>
  <c r="BJ11" i="7"/>
  <c r="AO41" i="5"/>
  <c r="BJ12" i="6"/>
  <c r="BJ12" i="7"/>
  <c r="AO45" i="5"/>
  <c r="BJ15" i="6"/>
  <c r="BJ15" i="7"/>
  <c r="AO42" i="5"/>
  <c r="BJ14" i="6"/>
  <c r="BJ14" i="7"/>
  <c r="BJ16" i="7"/>
  <c r="BJ16" i="6"/>
  <c r="AO40" i="5"/>
  <c r="AO42" i="4"/>
  <c r="BI14" i="6"/>
  <c r="BI14" i="7"/>
  <c r="AO45" i="4"/>
  <c r="BI15" i="6"/>
  <c r="AE14" i="6" s="1"/>
  <c r="BI15" i="7"/>
  <c r="AO44" i="4"/>
  <c r="BI11" i="7"/>
  <c r="BI11" i="6"/>
  <c r="BI16" i="6"/>
  <c r="C15" i="6" s="1"/>
  <c r="BI16" i="7"/>
  <c r="BI12" i="6"/>
  <c r="BI12" i="7"/>
  <c r="BI13" i="6"/>
  <c r="BI13" i="7"/>
  <c r="BH27" i="3"/>
  <c r="BG27" i="3" s="1"/>
  <c r="BH26" i="3"/>
  <c r="BG26" i="3" s="1"/>
  <c r="BH24" i="3"/>
  <c r="BG24" i="3" s="1"/>
  <c r="BH22" i="3"/>
  <c r="BH25" i="3"/>
  <c r="BG25" i="3" s="1"/>
  <c r="BH23" i="3"/>
  <c r="BG23" i="3" s="1"/>
  <c r="BN27" i="2"/>
  <c r="BM24" i="2"/>
  <c r="BN24" i="2" s="1"/>
  <c r="BM23" i="2"/>
  <c r="BN23" i="2" s="1"/>
  <c r="BM26" i="2"/>
  <c r="BN26" i="2" s="1"/>
  <c r="BM25" i="2"/>
  <c r="BN25" i="2" s="1"/>
  <c r="BM22" i="2"/>
  <c r="BN22" i="2" s="1"/>
  <c r="BG23" i="6" l="1"/>
  <c r="I28" i="6"/>
  <c r="Z32" i="6"/>
  <c r="BG26" i="6"/>
  <c r="Z25" i="6"/>
  <c r="I33" i="6"/>
  <c r="AM43" i="3"/>
  <c r="AM45" i="3"/>
  <c r="AJ44" i="3"/>
  <c r="AM41" i="3"/>
  <c r="BG22" i="3"/>
  <c r="AJ42" i="3"/>
  <c r="J44" i="3"/>
  <c r="AG45" i="3"/>
  <c r="J45" i="3"/>
  <c r="BI41" i="3"/>
  <c r="J43" i="3"/>
  <c r="BI45" i="3"/>
  <c r="AJ40" i="3"/>
  <c r="J42" i="3"/>
  <c r="AG43" i="3"/>
  <c r="AG41" i="3"/>
  <c r="BI42" i="3"/>
  <c r="AG40" i="3"/>
  <c r="AJ45" i="3"/>
  <c r="BI40" i="3"/>
  <c r="BI44" i="3"/>
  <c r="AM44" i="3"/>
  <c r="AG44" i="3"/>
  <c r="J40" i="3"/>
  <c r="AM40" i="3"/>
  <c r="J41" i="3"/>
  <c r="BI43" i="3"/>
  <c r="AM42" i="3"/>
  <c r="AG42" i="3"/>
  <c r="AJ43" i="3"/>
  <c r="AJ41" i="3"/>
  <c r="BH22" i="2"/>
  <c r="BH24" i="2"/>
  <c r="BH27" i="2"/>
  <c r="BH25" i="2"/>
  <c r="BH26" i="2"/>
  <c r="BH23" i="2"/>
  <c r="AO41" i="3" l="1"/>
  <c r="J40" i="2"/>
  <c r="AO43" i="3"/>
  <c r="AO45" i="3"/>
  <c r="AO40" i="3"/>
  <c r="AO42" i="3"/>
  <c r="BH15" i="6"/>
  <c r="BH15" i="7"/>
  <c r="BH11" i="6"/>
  <c r="BH11" i="7"/>
  <c r="BH16" i="6"/>
  <c r="BH16" i="7"/>
  <c r="AO44" i="3"/>
  <c r="BH12" i="6"/>
  <c r="BH12" i="7"/>
  <c r="BH14" i="6"/>
  <c r="BH14" i="7"/>
  <c r="BH13" i="6"/>
  <c r="BH13" i="7"/>
  <c r="BI45" i="2"/>
  <c r="BI44" i="2"/>
  <c r="BI43" i="2"/>
  <c r="BI42" i="2"/>
  <c r="BI41" i="2"/>
  <c r="J41" i="2"/>
  <c r="BG26" i="2"/>
  <c r="BG25" i="2"/>
  <c r="BG27" i="2"/>
  <c r="BG23" i="2"/>
  <c r="BG24" i="2"/>
  <c r="BI40" i="2"/>
  <c r="J43" i="2"/>
  <c r="AM44" i="2"/>
  <c r="AM45" i="2"/>
  <c r="AM43" i="2"/>
  <c r="AM42" i="2"/>
  <c r="AM41" i="2"/>
  <c r="AM40" i="2"/>
  <c r="AJ44" i="2"/>
  <c r="AJ45" i="2"/>
  <c r="AJ43" i="2"/>
  <c r="AJ42" i="2"/>
  <c r="AJ41" i="2"/>
  <c r="AJ40" i="2"/>
  <c r="AG44" i="2"/>
  <c r="AG45" i="2"/>
  <c r="AG43" i="2"/>
  <c r="AG42" i="2"/>
  <c r="AG41" i="2"/>
  <c r="AG40" i="2"/>
  <c r="J45" i="2"/>
  <c r="J44" i="2"/>
  <c r="J42" i="2"/>
  <c r="BG22" i="2"/>
  <c r="BG12" i="6" l="1"/>
  <c r="BG12" i="7"/>
  <c r="AE19" i="7" s="1"/>
  <c r="BG11" i="6"/>
  <c r="BG11" i="7"/>
  <c r="C13" i="7" s="1"/>
  <c r="BG13" i="6"/>
  <c r="BG13" i="7"/>
  <c r="C20" i="7" s="1"/>
  <c r="BG14" i="6"/>
  <c r="BG14" i="7"/>
  <c r="BG15" i="6"/>
  <c r="AE19" i="6" s="1"/>
  <c r="BG34" i="6" s="1"/>
  <c r="BG15" i="7"/>
  <c r="BG16" i="6"/>
  <c r="C20" i="6" s="1"/>
  <c r="BG31" i="6" s="1"/>
  <c r="BG16" i="7"/>
  <c r="I35" i="6"/>
  <c r="Z27" i="6"/>
  <c r="I30" i="6"/>
  <c r="Z34" i="6"/>
  <c r="AO44" i="2"/>
  <c r="AO45" i="2"/>
  <c r="AO42" i="2"/>
  <c r="AO43" i="2"/>
  <c r="AO40" i="2"/>
  <c r="AO41" i="2"/>
  <c r="C13" i="6" l="1"/>
  <c r="BG31" i="7"/>
  <c r="Z34" i="7"/>
  <c r="I30" i="7"/>
  <c r="BG21" i="7"/>
  <c r="Z28" i="7"/>
  <c r="I24" i="7"/>
  <c r="BG34" i="7"/>
  <c r="Z27" i="7"/>
  <c r="I35" i="7"/>
  <c r="BH22" i="7" l="1"/>
  <c r="BI22" i="7"/>
  <c r="BJ23" i="7"/>
  <c r="BI27" i="7"/>
  <c r="BI29" i="7"/>
  <c r="BJ35" i="7"/>
  <c r="BH26" i="7"/>
  <c r="BI33" i="7"/>
  <c r="BH29" i="7"/>
  <c r="BJ33" i="7"/>
  <c r="BI26" i="7"/>
  <c r="BH27" i="7"/>
  <c r="BJ27" i="7"/>
  <c r="BI35" i="7"/>
  <c r="BJ25" i="7"/>
  <c r="BI23" i="7"/>
  <c r="BJ29" i="7"/>
  <c r="BI30" i="7"/>
  <c r="BH23" i="7"/>
  <c r="BI25" i="7"/>
  <c r="BJ22" i="7"/>
  <c r="BH25" i="7"/>
  <c r="BH35" i="7"/>
  <c r="BJ26" i="7"/>
  <c r="BJ30" i="7"/>
  <c r="BH30" i="7"/>
  <c r="BH33" i="7"/>
  <c r="BJ21" i="7"/>
  <c r="BI21" i="7"/>
  <c r="BH21" i="7"/>
  <c r="BI31" i="7"/>
  <c r="BJ31" i="7"/>
  <c r="BH31" i="7"/>
  <c r="Z28" i="6"/>
  <c r="I24" i="6"/>
  <c r="BI34" i="7"/>
  <c r="BH34" i="7"/>
  <c r="BJ34" i="7"/>
  <c r="BG21" i="6"/>
  <c r="BK23" i="7" l="1"/>
  <c r="BL23" i="7" s="1"/>
  <c r="BK35" i="7"/>
  <c r="BL35" i="7" s="1"/>
  <c r="BK25" i="7"/>
  <c r="BL25" i="7" s="1"/>
  <c r="BK21" i="7"/>
  <c r="BL21" i="7" s="1"/>
  <c r="BK34" i="7"/>
  <c r="BL34" i="7" s="1"/>
  <c r="BK33" i="7"/>
  <c r="BL33" i="7" s="1"/>
  <c r="BJ21" i="6"/>
  <c r="BI21" i="6"/>
  <c r="BH21" i="6"/>
  <c r="BK31" i="7"/>
  <c r="BL31" i="7" s="1"/>
  <c r="BK29" i="7"/>
  <c r="BL29" i="7" s="1"/>
  <c r="BK27" i="7"/>
  <c r="BL27" i="7" s="1"/>
  <c r="BI23" i="6"/>
  <c r="BJ22" i="6"/>
  <c r="BI29" i="6"/>
  <c r="BH26" i="6"/>
  <c r="BJ27" i="6"/>
  <c r="BJ33" i="6"/>
  <c r="BJ29" i="6"/>
  <c r="BH25" i="6"/>
  <c r="BI31" i="6"/>
  <c r="BI26" i="6"/>
  <c r="BI22" i="6"/>
  <c r="BH33" i="6"/>
  <c r="BJ30" i="6"/>
  <c r="BJ23" i="6"/>
  <c r="BI33" i="6"/>
  <c r="BH34" i="6"/>
  <c r="BI34" i="6"/>
  <c r="BJ34" i="6"/>
  <c r="BH23" i="6"/>
  <c r="BH22" i="6"/>
  <c r="BH30" i="6"/>
  <c r="BJ31" i="6"/>
  <c r="BI27" i="6"/>
  <c r="BK27" i="6" s="1"/>
  <c r="BH31" i="6"/>
  <c r="BH27" i="6"/>
  <c r="BJ26" i="6"/>
  <c r="BI25" i="6"/>
  <c r="BJ25" i="6"/>
  <c r="BH29" i="6"/>
  <c r="BI30" i="6"/>
  <c r="BI35" i="6"/>
  <c r="BJ35" i="6"/>
  <c r="BH35" i="6"/>
  <c r="BK26" i="7"/>
  <c r="BL26" i="7" s="1"/>
  <c r="BK30" i="7"/>
  <c r="BL30" i="7" s="1"/>
  <c r="BK22" i="7"/>
  <c r="BL22" i="7" s="1"/>
  <c r="BK33" i="6" l="1"/>
  <c r="BL33" i="6" s="1"/>
  <c r="BK30" i="6"/>
  <c r="BL30" i="6" s="1"/>
  <c r="BF26" i="7"/>
  <c r="BF30" i="7"/>
  <c r="BK21" i="6"/>
  <c r="BF35" i="7"/>
  <c r="BK25" i="6"/>
  <c r="BL25" i="6" s="1"/>
  <c r="BK22" i="6"/>
  <c r="BL22" i="6" s="1"/>
  <c r="BL21" i="6"/>
  <c r="BK34" i="6"/>
  <c r="BL34" i="6" s="1"/>
  <c r="BK35" i="6"/>
  <c r="BL35" i="6" s="1"/>
  <c r="BF22" i="7"/>
  <c r="BF21" i="7"/>
  <c r="BK29" i="6"/>
  <c r="BL29" i="6" s="1"/>
  <c r="BK26" i="6"/>
  <c r="BL26" i="6" s="1"/>
  <c r="BF31" i="7"/>
  <c r="BK31" i="6"/>
  <c r="BL31" i="6" s="1"/>
  <c r="BK23" i="6"/>
  <c r="BL23" i="6" s="1"/>
  <c r="BF27" i="7"/>
  <c r="BL27" i="6"/>
  <c r="BF25" i="7"/>
  <c r="BF34" i="7"/>
  <c r="BF33" i="7"/>
  <c r="BF29" i="7"/>
  <c r="BF23" i="7"/>
  <c r="BF26" i="6" l="1"/>
  <c r="BF25" i="6"/>
  <c r="P45" i="7"/>
  <c r="U46" i="7"/>
  <c r="R46" i="7"/>
  <c r="U44" i="7"/>
  <c r="C45" i="7"/>
  <c r="AB64" i="7" s="1"/>
  <c r="AB88" i="7" s="1"/>
  <c r="AB115" i="7" s="1"/>
  <c r="H119" i="7" s="1"/>
  <c r="R44" i="7"/>
  <c r="P46" i="7"/>
  <c r="P44" i="7"/>
  <c r="C46" i="7"/>
  <c r="J72" i="7" s="1"/>
  <c r="AB95" i="7" s="1"/>
  <c r="H129" i="7" s="1"/>
  <c r="U45" i="7"/>
  <c r="C44" i="7"/>
  <c r="J60" i="7" s="1"/>
  <c r="AB76" i="7" s="1"/>
  <c r="J107" i="7" s="1"/>
  <c r="H124" i="7" s="1"/>
  <c r="R45" i="7"/>
  <c r="BF31" i="6"/>
  <c r="BF30" i="6"/>
  <c r="AC44" i="7"/>
  <c r="J64" i="7" s="1"/>
  <c r="AB80" i="7" s="1"/>
  <c r="AB107" i="7" s="1"/>
  <c r="H123" i="7" s="1"/>
  <c r="AP45" i="7"/>
  <c r="AR44" i="7"/>
  <c r="AP44" i="7"/>
  <c r="AU44" i="7"/>
  <c r="AR46" i="7"/>
  <c r="AC46" i="7"/>
  <c r="AB72" i="7" s="1"/>
  <c r="AB99" i="7" s="1"/>
  <c r="H127" i="7" s="1"/>
  <c r="AU46" i="7"/>
  <c r="AC45" i="7"/>
  <c r="AB60" i="7" s="1"/>
  <c r="AB84" i="7" s="1"/>
  <c r="J115" i="7" s="1"/>
  <c r="H120" i="7" s="1"/>
  <c r="AU45" i="7"/>
  <c r="AP46" i="7"/>
  <c r="AR45" i="7"/>
  <c r="AR40" i="7"/>
  <c r="AU41" i="7"/>
  <c r="AC40" i="7"/>
  <c r="AB52" i="7" s="1"/>
  <c r="J84" i="7" s="1"/>
  <c r="J111" i="7" s="1"/>
  <c r="H122" i="7" s="1"/>
  <c r="AC41" i="7"/>
  <c r="AB68" i="7" s="1"/>
  <c r="J99" i="7" s="1"/>
  <c r="H128" i="7" s="1"/>
  <c r="AP40" i="7"/>
  <c r="AU39" i="7"/>
  <c r="AR39" i="7"/>
  <c r="AU40" i="7"/>
  <c r="AC39" i="7"/>
  <c r="J56" i="7" s="1"/>
  <c r="J80" i="7" s="1"/>
  <c r="AB103" i="7" s="1"/>
  <c r="H125" i="7" s="1"/>
  <c r="AR41" i="7"/>
  <c r="AP41" i="7"/>
  <c r="AP39" i="7"/>
  <c r="BF29" i="6"/>
  <c r="BF27" i="6"/>
  <c r="BF35" i="6"/>
  <c r="BF33" i="6"/>
  <c r="BF34" i="6"/>
  <c r="P40" i="7"/>
  <c r="R40" i="7"/>
  <c r="U39" i="7"/>
  <c r="R41" i="7"/>
  <c r="C40" i="7"/>
  <c r="AB56" i="7" s="1"/>
  <c r="J88" i="7" s="1"/>
  <c r="AB111" i="7" s="1"/>
  <c r="H121" i="7" s="1"/>
  <c r="P41" i="7"/>
  <c r="R39" i="7"/>
  <c r="U40" i="7"/>
  <c r="U41" i="7"/>
  <c r="P39" i="7"/>
  <c r="C39" i="7"/>
  <c r="J52" i="7" s="1"/>
  <c r="J76" i="7" s="1"/>
  <c r="J103" i="7" s="1"/>
  <c r="H126" i="7" s="1"/>
  <c r="C41" i="7"/>
  <c r="J68" i="7" s="1"/>
  <c r="J95" i="7" s="1"/>
  <c r="H130" i="7" s="1"/>
  <c r="BF21" i="6"/>
  <c r="BF23" i="6"/>
  <c r="BF22" i="6"/>
  <c r="J76" i="6"/>
  <c r="J103" i="6" s="1"/>
  <c r="H126" i="6" s="1"/>
  <c r="W40" i="7" l="1"/>
  <c r="AW39" i="7"/>
  <c r="AW45" i="7"/>
  <c r="AW41" i="7"/>
  <c r="W45" i="7"/>
  <c r="AW40" i="7"/>
  <c r="W44" i="7"/>
  <c r="W46" i="7"/>
  <c r="AW46" i="7"/>
  <c r="W39" i="7"/>
  <c r="AP44" i="6"/>
  <c r="AR45" i="6"/>
  <c r="AP46" i="6"/>
  <c r="AR46" i="6"/>
  <c r="AC45" i="6"/>
  <c r="AB60" i="6" s="1"/>
  <c r="AB84" i="6" s="1"/>
  <c r="J115" i="6" s="1"/>
  <c r="H120" i="6" s="1"/>
  <c r="AC44" i="6"/>
  <c r="J64" i="6" s="1"/>
  <c r="AB80" i="6" s="1"/>
  <c r="AB107" i="6" s="1"/>
  <c r="H123" i="6" s="1"/>
  <c r="AC46" i="6"/>
  <c r="AB72" i="6" s="1"/>
  <c r="AB99" i="6" s="1"/>
  <c r="H127" i="6" s="1"/>
  <c r="AR44" i="6"/>
  <c r="AP45" i="6"/>
  <c r="AU44" i="6"/>
  <c r="AU46" i="6"/>
  <c r="AU45" i="6"/>
  <c r="AW44" i="7"/>
  <c r="C41" i="6"/>
  <c r="J68" i="6" s="1"/>
  <c r="J95" i="6" s="1"/>
  <c r="H130" i="6" s="1"/>
  <c r="P39" i="6"/>
  <c r="C39" i="6"/>
  <c r="R40" i="6"/>
  <c r="R41" i="6"/>
  <c r="C40" i="6"/>
  <c r="AB56" i="6" s="1"/>
  <c r="J88" i="6" s="1"/>
  <c r="P41" i="6"/>
  <c r="U40" i="6"/>
  <c r="R39" i="6"/>
  <c r="P40" i="6"/>
  <c r="U41" i="6"/>
  <c r="U39" i="6"/>
  <c r="AP40" i="6"/>
  <c r="AP39" i="6"/>
  <c r="AP41" i="6"/>
  <c r="AC39" i="6"/>
  <c r="J56" i="6" s="1"/>
  <c r="J80" i="6" s="1"/>
  <c r="AB103" i="6" s="1"/>
  <c r="H125" i="6" s="1"/>
  <c r="AR41" i="6"/>
  <c r="AC40" i="6"/>
  <c r="AB52" i="6" s="1"/>
  <c r="J84" i="6" s="1"/>
  <c r="J111" i="6" s="1"/>
  <c r="H122" i="6" s="1"/>
  <c r="AU39" i="6"/>
  <c r="AU40" i="6"/>
  <c r="AR40" i="6"/>
  <c r="AC41" i="6"/>
  <c r="AB68" i="6" s="1"/>
  <c r="J99" i="6" s="1"/>
  <c r="H128" i="6" s="1"/>
  <c r="AR39" i="6"/>
  <c r="AU41" i="6"/>
  <c r="W41" i="7"/>
  <c r="C44" i="6"/>
  <c r="J60" i="6" s="1"/>
  <c r="AB76" i="6" s="1"/>
  <c r="J107" i="6" s="1"/>
  <c r="H124" i="6" s="1"/>
  <c r="U46" i="6"/>
  <c r="C45" i="6"/>
  <c r="AB64" i="6" s="1"/>
  <c r="AB88" i="6" s="1"/>
  <c r="AB115" i="6" s="1"/>
  <c r="H119" i="6" s="1"/>
  <c r="P45" i="6"/>
  <c r="U44" i="6"/>
  <c r="C46" i="6"/>
  <c r="J72" i="6" s="1"/>
  <c r="AB95" i="6" s="1"/>
  <c r="H129" i="6" s="1"/>
  <c r="U45" i="6"/>
  <c r="P44" i="6"/>
  <c r="R45" i="6"/>
  <c r="P46" i="6"/>
  <c r="R44" i="6"/>
  <c r="R46" i="6"/>
  <c r="W46" i="6" l="1"/>
  <c r="AW39" i="6"/>
  <c r="AW46" i="6"/>
  <c r="W39" i="6"/>
  <c r="AW40" i="6"/>
  <c r="W41" i="6"/>
  <c r="AW41" i="6"/>
  <c r="AW45" i="6"/>
  <c r="W40" i="6"/>
  <c r="AW44" i="6"/>
  <c r="W44" i="6"/>
  <c r="W45" i="6"/>
</calcChain>
</file>

<file path=xl/sharedStrings.xml><?xml version="1.0" encoding="utf-8"?>
<sst xmlns="http://schemas.openxmlformats.org/spreadsheetml/2006/main" count="872" uniqueCount="172">
  <si>
    <t>SG 07 Untertürkheim</t>
  </si>
  <si>
    <t>Gruppen A - D</t>
  </si>
  <si>
    <t>Gruppe A</t>
  </si>
  <si>
    <t>Gruppe B</t>
  </si>
  <si>
    <t>1.</t>
  </si>
  <si>
    <t>2.</t>
  </si>
  <si>
    <t>3.</t>
  </si>
  <si>
    <t>4.</t>
  </si>
  <si>
    <t>5.</t>
  </si>
  <si>
    <t>6.</t>
  </si>
  <si>
    <t>Gruppe C</t>
  </si>
  <si>
    <t>Gruppe D</t>
  </si>
  <si>
    <t>&gt; Die ersten drei jeder Gruppe erreichen den Meistercup</t>
  </si>
  <si>
    <t>&gt; Die Gruppen 4. bis 6.  erreichen den Eurocup</t>
  </si>
  <si>
    <t>&gt; Genauere Uhrzeiten der einzelnen Gruppen bitte dem Spielplan entnehmen.</t>
  </si>
  <si>
    <t xml:space="preserve">&gt; Vorstellung der einzelnen Mannschaften Samstag um 9:40 / 14:15 Uhr </t>
  </si>
  <si>
    <t>Anschrift Sportanlage: Bruckwiesenweg 18 A, 70327 Stuttgart- Untertürkheim</t>
  </si>
  <si>
    <t>Beginn:</t>
  </si>
  <si>
    <t>Uhr</t>
  </si>
  <si>
    <t>Spielzeit:</t>
  </si>
  <si>
    <t>min</t>
  </si>
  <si>
    <t>Pause:</t>
  </si>
  <si>
    <t>I. Teilnehmende Mannschaften</t>
  </si>
  <si>
    <t>II. Spielplan</t>
  </si>
  <si>
    <t>SF</t>
  </si>
  <si>
    <t>Beginn</t>
  </si>
  <si>
    <t>Spielpaarung</t>
  </si>
  <si>
    <t>Ergebnis</t>
  </si>
  <si>
    <t>:</t>
  </si>
  <si>
    <t>-</t>
  </si>
  <si>
    <t>III. Abschlusstabelle</t>
  </si>
  <si>
    <t>Tore</t>
  </si>
  <si>
    <t>Diff.</t>
  </si>
  <si>
    <t>Pkt.</t>
  </si>
  <si>
    <t>Abschlusstabelle</t>
  </si>
  <si>
    <t>Gruppe 1</t>
  </si>
  <si>
    <t>Gruppe 2</t>
  </si>
  <si>
    <t>Gruppe 3</t>
  </si>
  <si>
    <t>Gruppe 4</t>
  </si>
  <si>
    <t>II- Spielplan Vorrunde</t>
  </si>
  <si>
    <t>III. Abschlusstabellen Vorrunde</t>
  </si>
  <si>
    <t>Pkt</t>
  </si>
  <si>
    <t>D</t>
  </si>
  <si>
    <t>Nr.</t>
  </si>
  <si>
    <t>Feld</t>
  </si>
  <si>
    <t>1. Gruppe 1</t>
  </si>
  <si>
    <t>2. Gruppe 2</t>
  </si>
  <si>
    <t>1. Gruppe 2</t>
  </si>
  <si>
    <t>2. Gruppe 1</t>
  </si>
  <si>
    <t>1. Gruppe 3</t>
  </si>
  <si>
    <t>2. Gruppe 4</t>
  </si>
  <si>
    <t>1. Gruppe 4</t>
  </si>
  <si>
    <t>2. Gruppe 3</t>
  </si>
  <si>
    <t>1. Halbfinale Trostrunde</t>
  </si>
  <si>
    <t>2. Halbfinale Trostrunde</t>
  </si>
  <si>
    <t>1. kleines Halbfinale</t>
  </si>
  <si>
    <t>2. kleines Halbfinale</t>
  </si>
  <si>
    <t>3. Gruppe 1</t>
  </si>
  <si>
    <t>Verlierer Spiel 1</t>
  </si>
  <si>
    <t>Verlierer Spiel 2</t>
  </si>
  <si>
    <t>Verlierer Spiel 3</t>
  </si>
  <si>
    <t>Verlierer Spiel 4</t>
  </si>
  <si>
    <t>1. Halbfinale</t>
  </si>
  <si>
    <t>2. Halbfinale</t>
  </si>
  <si>
    <t>Sieger Spiel 1</t>
  </si>
  <si>
    <t>Sieger Spiel 3</t>
  </si>
  <si>
    <t>Sieger Spiel 2</t>
  </si>
  <si>
    <t>Sieger Spiel 4</t>
  </si>
  <si>
    <t>IV. Endrunde</t>
  </si>
  <si>
    <t>Spiel um Platz 23</t>
  </si>
  <si>
    <t>Spiel um Platz 21</t>
  </si>
  <si>
    <t>Spiel um Platz 19</t>
  </si>
  <si>
    <t>Spiel um Platz 17</t>
  </si>
  <si>
    <t>Spiel um Platz 15</t>
  </si>
  <si>
    <t>Spiel um Platz 13</t>
  </si>
  <si>
    <t>Verlierer Spiel 5</t>
  </si>
  <si>
    <t>Verlierer Spiel 6</t>
  </si>
  <si>
    <t>Sieger Spiel 5</t>
  </si>
  <si>
    <t>Sieger Spiel 6</t>
  </si>
  <si>
    <t>Verlierer Spiel 7</t>
  </si>
  <si>
    <t>Verlierer Spiel 8</t>
  </si>
  <si>
    <t>Sieger Spiel 7</t>
  </si>
  <si>
    <t>Sieger Spiel 8</t>
  </si>
  <si>
    <t>Verlierer Spiel 9</t>
  </si>
  <si>
    <t>Verlierer Spiel 10</t>
  </si>
  <si>
    <t>Sieger Spiel 9</t>
  </si>
  <si>
    <t>Sieger Spiel 10</t>
  </si>
  <si>
    <t>V. Platzierungen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</si>
  <si>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</si>
  <si>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</si>
  <si>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</si>
  <si>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</si>
  <si>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</si>
  <si>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</si>
  <si>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</si>
  <si>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</si>
  <si>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</si>
  <si>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</si>
  <si>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</si>
  <si>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</si>
  <si>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Verlierer Spiel 17</t>
  </si>
  <si>
    <t>Verlierer Spiel 18</t>
  </si>
  <si>
    <t>Verlierer Spiel 19</t>
  </si>
  <si>
    <t>Verlierer Spiel 20</t>
  </si>
  <si>
    <t>Sieger Spiel 17</t>
  </si>
  <si>
    <t>Sieger Spiel 18</t>
  </si>
  <si>
    <t>Sieger Spiel 19</t>
  </si>
  <si>
    <t>Sieger Spiel 20</t>
  </si>
  <si>
    <t>Verlierer Spiel 23</t>
  </si>
  <si>
    <t>Verlierer Spiel 24</t>
  </si>
  <si>
    <t>Sieger Spiel 23</t>
  </si>
  <si>
    <t>Sieger Spiel 24</t>
  </si>
  <si>
    <t>Spiel um Platz 11</t>
  </si>
  <si>
    <t>Spiel um Platz 9</t>
  </si>
  <si>
    <t>Spiel um Platz 7</t>
  </si>
  <si>
    <t>Spiel um Platz 5</t>
  </si>
  <si>
    <t>Finale</t>
  </si>
  <si>
    <t>Verlierer Spiel 21</t>
  </si>
  <si>
    <t>Verlierer Spiel 22</t>
  </si>
  <si>
    <t>Sieger Spiel 21</t>
  </si>
  <si>
    <t>Sieger Spiel 22</t>
  </si>
  <si>
    <t>Verlierer Spiel 25</t>
  </si>
  <si>
    <t>Verlierer Spiel 26</t>
  </si>
  <si>
    <t>Sieger Spiel 25</t>
  </si>
  <si>
    <t>Sieger Spiel 26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</si>
  <si>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</si>
  <si>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</si>
  <si>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</si>
  <si>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</si>
  <si>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</si>
  <si>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</si>
  <si>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</si>
  <si>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</si>
  <si>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</si>
  <si>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3. Gruppe 2</t>
  </si>
  <si>
    <t>3. Gruppe 3</t>
  </si>
  <si>
    <t>3. Gruppe 4</t>
  </si>
  <si>
    <t>kleines Finale</t>
  </si>
  <si>
    <t>1. Viertelfinale</t>
  </si>
  <si>
    <t>2. Viertelfinale</t>
  </si>
  <si>
    <t>3. Viertelfinale</t>
  </si>
  <si>
    <t>4. Viertelfinale</t>
  </si>
  <si>
    <t>Kontakt am Turniertag:  Robin Zeidler 0173/4136964</t>
  </si>
  <si>
    <t>10. attimo-Cup</t>
  </si>
  <si>
    <t>Am Samstag / Sonntag, den 20. / 21.05.2023</t>
  </si>
  <si>
    <t>&gt; Die Gruppenspiele finden am Samstag , den 20.05.2023 statt.</t>
  </si>
  <si>
    <t>&gt; Die Endrunden finden am Sonntag, den 21.05.2023 statt.</t>
  </si>
  <si>
    <t>Borussia Mönchengladbach</t>
  </si>
  <si>
    <t>TSV 1860 München</t>
  </si>
  <si>
    <t>SV Stuttgarter Kickers</t>
  </si>
  <si>
    <t>Borussia Dortmund</t>
  </si>
  <si>
    <t>TSV Uhlbach</t>
  </si>
  <si>
    <t>SK Rapid Wien</t>
  </si>
  <si>
    <t>SV Fellbach</t>
  </si>
  <si>
    <t>Bayer 04 Leverkusen</t>
  </si>
  <si>
    <t>Eintracht Frankfurt</t>
  </si>
  <si>
    <t>FV Löchgau</t>
  </si>
  <si>
    <t>LASK Linz</t>
  </si>
  <si>
    <t>1. FC Heidenheim</t>
  </si>
  <si>
    <t>Fortuna Köln</t>
  </si>
  <si>
    <t>FSV Waiblingen</t>
  </si>
  <si>
    <t>1. FC Nürnberg</t>
  </si>
  <si>
    <t>FC Augsburg</t>
  </si>
  <si>
    <t>Karlsruher SC</t>
  </si>
  <si>
    <t>TB Untertürkheim</t>
  </si>
  <si>
    <t>SV Vaihingen</t>
  </si>
  <si>
    <t>Am Samstag, den 20.05.2023</t>
  </si>
  <si>
    <t>Am Sonntag, den 21.05.2023</t>
  </si>
  <si>
    <t>VfR Heilbronn</t>
  </si>
  <si>
    <t>TSF Ditzingen</t>
  </si>
  <si>
    <t>TSG 1899 Hoffenheim</t>
  </si>
  <si>
    <t>TSV Wendlingen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</si>
</sst>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20"/>
      <color theme="1"/>
      <name val="Lucida Handwriting"/>
      <family val="4"/>
    </font>
    <font>
      <b/>
      <sz val="20"/>
      <color theme="1"/>
      <name val="Lucida Handwriting"/>
      <family val="4"/>
    </font>
    <font>
      <b/>
      <sz val="24"/>
      <color theme="1"/>
      <name val="Comic Sans MS"/>
      <family val="4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14" fillId="0" borderId="17" xfId="0" applyFont="1" applyBorder="1"/>
    <xf numFmtId="0" fontId="12" fillId="0" borderId="24" xfId="0" applyFont="1" applyBorder="1"/>
    <xf numFmtId="0" fontId="14" fillId="0" borderId="24" xfId="0" applyFont="1" applyBorder="1"/>
    <xf numFmtId="0" fontId="12" fillId="0" borderId="19" xfId="0" applyFont="1" applyBorder="1"/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45" fontId="11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24" xfId="0" applyFont="1" applyBorder="1" applyAlignment="1">
      <alignment horizontal="center"/>
    </xf>
    <xf numFmtId="0" fontId="15" fillId="0" borderId="0" xfId="0" applyFont="1"/>
    <xf numFmtId="0" fontId="0" fillId="0" borderId="4" xfId="0" applyBorder="1"/>
    <xf numFmtId="0" fontId="0" fillId="0" borderId="10" xfId="0" applyBorder="1"/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5" fillId="0" borderId="0" xfId="1" applyAlignment="1">
      <alignment horizontal="left" vertical="center" shrinkToFit="1"/>
    </xf>
    <xf numFmtId="0" fontId="14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4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2" fillId="0" borderId="1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0" fontId="12" fillId="0" borderId="19" xfId="0" applyNumberFormat="1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20" fontId="12" fillId="0" borderId="24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5" fontId="11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0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34" xfId="1" applyBorder="1" applyAlignment="1">
      <alignment horizontal="left" vertical="center" shrinkToFit="1"/>
    </xf>
    <xf numFmtId="0" fontId="5" fillId="0" borderId="35" xfId="1" applyBorder="1" applyAlignment="1">
      <alignment horizontal="left" vertical="center" shrinkToFit="1"/>
    </xf>
    <xf numFmtId="0" fontId="5" fillId="0" borderId="42" xfId="1" applyBorder="1" applyAlignment="1">
      <alignment horizontal="left" vertical="center" shrinkToFit="1"/>
    </xf>
    <xf numFmtId="0" fontId="5" fillId="0" borderId="26" xfId="1" applyBorder="1" applyAlignment="1">
      <alignment horizontal="left" vertical="center" shrinkToFit="1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7</xdr:row>
      <xdr:rowOff>14525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BCCC1996-B14A-4CBB-8033-8258B7869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308" y="36635"/>
          <a:ext cx="1235319" cy="1780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41414</xdr:colOff>
      <xdr:row>1</xdr:row>
      <xdr:rowOff>1</xdr:rowOff>
    </xdr:from>
    <xdr:to>
      <xdr:col>11</xdr:col>
      <xdr:colOff>49695</xdr:colOff>
      <xdr:row>6</xdr:row>
      <xdr:rowOff>157370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4BE4346-E5EE-75CE-9C3B-24A29FC7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190501"/>
          <a:ext cx="1283803" cy="1581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6</xdr:row>
      <xdr:rowOff>7327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7B39D556-A2E2-4F6F-BE8E-467431A4E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308" y="36635"/>
          <a:ext cx="1235319" cy="15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33131</xdr:rowOff>
    </xdr:from>
    <xdr:to>
      <xdr:col>11</xdr:col>
      <xdr:colOff>8281</xdr:colOff>
      <xdr:row>5</xdr:row>
      <xdr:rowOff>190500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6698EF8-BF54-4A71-857E-26978E741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31"/>
          <a:ext cx="1283803" cy="1581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5</xdr:row>
      <xdr:rowOff>180975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42445153-2209-44C5-8E6D-E4FBBCF1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008" y="36635"/>
          <a:ext cx="1206011" cy="1563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41414</xdr:colOff>
      <xdr:row>0</xdr:row>
      <xdr:rowOff>33130</xdr:rowOff>
    </xdr:from>
    <xdr:to>
      <xdr:col>11</xdr:col>
      <xdr:colOff>49695</xdr:colOff>
      <xdr:row>5</xdr:row>
      <xdr:rowOff>190499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76083E-BDE3-4A6E-AF3A-9FEC077E0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33130"/>
          <a:ext cx="1283803" cy="1581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6</xdr:row>
      <xdr:rowOff>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E3BBFBAA-07EA-46DC-A185-EFF176491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008" y="36635"/>
          <a:ext cx="1206011" cy="158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16565</xdr:colOff>
      <xdr:row>0</xdr:row>
      <xdr:rowOff>49696</xdr:rowOff>
    </xdr:from>
    <xdr:to>
      <xdr:col>11</xdr:col>
      <xdr:colOff>24846</xdr:colOff>
      <xdr:row>6</xdr:row>
      <xdr:rowOff>8283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C7AFAE4-26BE-498C-89D7-BC365391F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" y="49696"/>
          <a:ext cx="1283803" cy="1581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6</xdr:row>
      <xdr:rowOff>19050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6EC4946D-6283-4FBA-A3D9-E4DA9CA20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008" y="36635"/>
          <a:ext cx="1206011" cy="160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41413</xdr:rowOff>
    </xdr:from>
    <xdr:to>
      <xdr:col>11</xdr:col>
      <xdr:colOff>8281</xdr:colOff>
      <xdr:row>6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AE841-3F20-4C04-8CA3-54CFDBCFD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413"/>
          <a:ext cx="1283803" cy="15819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36636</xdr:rowOff>
    </xdr:from>
    <xdr:to>
      <xdr:col>49</xdr:col>
      <xdr:colOff>92319</xdr:colOff>
      <xdr:row>6</xdr:row>
      <xdr:rowOff>9526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2A6B22DA-20F9-4045-A097-A18ED7548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008" y="36636"/>
          <a:ext cx="1206011" cy="159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41413</xdr:colOff>
      <xdr:row>0</xdr:row>
      <xdr:rowOff>33130</xdr:rowOff>
    </xdr:from>
    <xdr:to>
      <xdr:col>11</xdr:col>
      <xdr:colOff>49694</xdr:colOff>
      <xdr:row>5</xdr:row>
      <xdr:rowOff>190499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F1FCA8-0D26-4397-A3C4-AF58FDCCE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33130"/>
          <a:ext cx="1283803" cy="15819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29308</xdr:colOff>
      <xdr:row>0</xdr:row>
      <xdr:rowOff>36635</xdr:rowOff>
    </xdr:from>
    <xdr:to>
      <xdr:col>49</xdr:col>
      <xdr:colOff>92319</xdr:colOff>
      <xdr:row>5</xdr:row>
      <xdr:rowOff>190500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AEE91FF3-9F30-4A54-9C90-A25EBC65D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7008" y="36635"/>
          <a:ext cx="1206011" cy="157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8281</xdr:colOff>
      <xdr:row>5</xdr:row>
      <xdr:rowOff>157369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5D42937-5BF7-4142-A6D9-92F6218F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3803" cy="1581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46"/>
  <sheetViews>
    <sheetView showGridLines="0" tabSelected="1" topLeftCell="A18" zoomScale="115" zoomScaleNormal="115" workbookViewId="0">
      <selection activeCell="CG20" sqref="CG20"/>
    </sheetView>
  </sheetViews>
  <sheetFormatPr baseColWidth="10" defaultColWidth="1.7109375" defaultRowHeight="15" x14ac:dyDescent="0.25"/>
  <sheetData>
    <row r="2" spans="1:50" ht="37.5" x14ac:dyDescent="0.7">
      <c r="L2" s="3" t="s">
        <v>0</v>
      </c>
    </row>
    <row r="3" spans="1:50" ht="29.25" x14ac:dyDescent="0.55000000000000004">
      <c r="M3" s="2"/>
      <c r="Q3" s="1" t="s">
        <v>143</v>
      </c>
    </row>
    <row r="8" spans="1:50" x14ac:dyDescent="0.25">
      <c r="M8" s="40" t="s">
        <v>144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50" x14ac:dyDescent="0.25"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</row>
    <row r="10" spans="1:50" x14ac:dyDescent="0.25">
      <c r="C10" s="40" t="s">
        <v>142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50" ht="15.75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8.75" thickBot="1" x14ac:dyDescent="0.3">
      <c r="A12" s="46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</row>
    <row r="13" spans="1:5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8.75" thickBot="1" x14ac:dyDescent="0.3">
      <c r="A15" s="46" t="s">
        <v>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"/>
      <c r="X15" s="4"/>
      <c r="Y15" s="4"/>
      <c r="Z15" s="4"/>
      <c r="AA15" s="4"/>
      <c r="AB15" s="4"/>
      <c r="AC15" s="46" t="s">
        <v>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8"/>
    </row>
    <row r="16" spans="1:50" ht="15.75" x14ac:dyDescent="0.25">
      <c r="A16" s="49" t="s">
        <v>4</v>
      </c>
      <c r="B16" s="50"/>
      <c r="C16" s="51" t="s">
        <v>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4"/>
      <c r="X16" s="4"/>
      <c r="Y16" s="4"/>
      <c r="Z16" s="4"/>
      <c r="AA16" s="4"/>
      <c r="AB16" s="4"/>
      <c r="AC16" s="49" t="s">
        <v>4</v>
      </c>
      <c r="AD16" s="50"/>
      <c r="AE16" s="51" t="s">
        <v>151</v>
      </c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2"/>
    </row>
    <row r="17" spans="1:50" ht="15.75" x14ac:dyDescent="0.25">
      <c r="A17" s="44" t="s">
        <v>5</v>
      </c>
      <c r="B17" s="45"/>
      <c r="C17" s="42" t="s">
        <v>150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4"/>
      <c r="X17" s="4"/>
      <c r="Y17" s="4"/>
      <c r="Z17" s="4"/>
      <c r="AA17" s="4"/>
      <c r="AB17" s="4"/>
      <c r="AC17" s="44" t="s">
        <v>5</v>
      </c>
      <c r="AD17" s="45"/>
      <c r="AE17" s="42" t="s">
        <v>147</v>
      </c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3"/>
    </row>
    <row r="18" spans="1:50" ht="15.75" x14ac:dyDescent="0.25">
      <c r="A18" s="44" t="s">
        <v>6</v>
      </c>
      <c r="B18" s="45"/>
      <c r="C18" s="41" t="s">
        <v>153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  <c r="W18" s="4"/>
      <c r="X18" s="4"/>
      <c r="Y18" s="4"/>
      <c r="Z18" s="4"/>
      <c r="AA18" s="4"/>
      <c r="AB18" s="4"/>
      <c r="AC18" s="44" t="s">
        <v>6</v>
      </c>
      <c r="AD18" s="45"/>
      <c r="AE18" s="41" t="s">
        <v>171</v>
      </c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/>
    </row>
    <row r="19" spans="1:50" ht="15.75" x14ac:dyDescent="0.25">
      <c r="A19" s="44" t="s">
        <v>7</v>
      </c>
      <c r="B19" s="45"/>
      <c r="C19" s="41" t="s">
        <v>152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"/>
      <c r="X19" s="4"/>
      <c r="Y19" s="4"/>
      <c r="Z19" s="4"/>
      <c r="AA19" s="4"/>
      <c r="AB19" s="4"/>
      <c r="AC19" s="44" t="s">
        <v>7</v>
      </c>
      <c r="AD19" s="45"/>
      <c r="AE19" s="41" t="s">
        <v>154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/>
    </row>
    <row r="20" spans="1:50" ht="15.75" x14ac:dyDescent="0.25">
      <c r="A20" s="44" t="s">
        <v>8</v>
      </c>
      <c r="B20" s="45"/>
      <c r="C20" s="41" t="s">
        <v>159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"/>
      <c r="X20" s="4"/>
      <c r="Y20" s="4"/>
      <c r="Z20" s="4"/>
      <c r="AA20" s="4"/>
      <c r="AB20" s="4"/>
      <c r="AC20" s="44" t="s">
        <v>8</v>
      </c>
      <c r="AD20" s="45"/>
      <c r="AE20" s="41" t="s">
        <v>160</v>
      </c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3"/>
    </row>
    <row r="21" spans="1:50" ht="16.5" thickBot="1" x14ac:dyDescent="0.3">
      <c r="A21" s="53" t="s">
        <v>9</v>
      </c>
      <c r="B21" s="54"/>
      <c r="C21" s="58" t="s">
        <v>157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4"/>
      <c r="X21" s="4"/>
      <c r="Y21" s="4"/>
      <c r="Z21" s="4"/>
      <c r="AA21" s="4"/>
      <c r="AB21" s="4"/>
      <c r="AC21" s="53" t="s">
        <v>9</v>
      </c>
      <c r="AD21" s="54"/>
      <c r="AE21" s="55" t="s">
        <v>163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7"/>
    </row>
    <row r="22" spans="1:5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.7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8.75" thickBot="1" x14ac:dyDescent="0.3">
      <c r="A25" s="46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4"/>
      <c r="X25" s="4"/>
      <c r="Y25" s="4"/>
      <c r="Z25" s="4"/>
      <c r="AA25" s="4"/>
      <c r="AB25" s="4"/>
      <c r="AC25" s="46" t="s">
        <v>11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8"/>
    </row>
    <row r="26" spans="1:50" ht="15.75" x14ac:dyDescent="0.25">
      <c r="A26" s="49" t="s">
        <v>4</v>
      </c>
      <c r="B26" s="50"/>
      <c r="C26" s="51" t="s">
        <v>148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4"/>
      <c r="X26" s="4"/>
      <c r="Y26" s="4"/>
      <c r="Z26" s="4"/>
      <c r="AA26" s="4"/>
      <c r="AB26" s="4"/>
      <c r="AC26" s="49" t="s">
        <v>4</v>
      </c>
      <c r="AD26" s="50"/>
      <c r="AE26" s="51" t="s">
        <v>155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</row>
    <row r="27" spans="1:50" ht="15.75" x14ac:dyDescent="0.25">
      <c r="A27" s="44" t="s">
        <v>5</v>
      </c>
      <c r="B27" s="45"/>
      <c r="C27" s="42" t="s">
        <v>156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"/>
      <c r="X27" s="4"/>
      <c r="Y27" s="4"/>
      <c r="Z27" s="4"/>
      <c r="AA27" s="4"/>
      <c r="AB27" s="4"/>
      <c r="AC27" s="44" t="s">
        <v>5</v>
      </c>
      <c r="AD27" s="45"/>
      <c r="AE27" s="42" t="s">
        <v>149</v>
      </c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</row>
    <row r="28" spans="1:50" ht="15.75" x14ac:dyDescent="0.25">
      <c r="A28" s="44" t="s">
        <v>6</v>
      </c>
      <c r="B28" s="45"/>
      <c r="C28" s="41" t="s">
        <v>170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"/>
      <c r="X28" s="4"/>
      <c r="Y28" s="4"/>
      <c r="Z28" s="4"/>
      <c r="AA28" s="4"/>
      <c r="AB28" s="4"/>
      <c r="AC28" s="44" t="s">
        <v>6</v>
      </c>
      <c r="AD28" s="45"/>
      <c r="AE28" s="41" t="s">
        <v>168</v>
      </c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/>
    </row>
    <row r="29" spans="1:50" ht="15.75" x14ac:dyDescent="0.25">
      <c r="A29" s="44" t="s">
        <v>7</v>
      </c>
      <c r="B29" s="45"/>
      <c r="C29" s="41" t="s">
        <v>161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"/>
      <c r="X29" s="4"/>
      <c r="Y29" s="4"/>
      <c r="Z29" s="4"/>
      <c r="AA29" s="4"/>
      <c r="AB29" s="4"/>
      <c r="AC29" s="44" t="s">
        <v>7</v>
      </c>
      <c r="AD29" s="45"/>
      <c r="AE29" s="41" t="s">
        <v>158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</row>
    <row r="30" spans="1:50" ht="15.75" x14ac:dyDescent="0.25">
      <c r="A30" s="44" t="s">
        <v>8</v>
      </c>
      <c r="B30" s="45"/>
      <c r="C30" s="41" t="s">
        <v>169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"/>
      <c r="X30" s="4"/>
      <c r="Y30" s="4"/>
      <c r="Z30" s="4"/>
      <c r="AA30" s="4"/>
      <c r="AB30" s="4"/>
      <c r="AC30" s="44" t="s">
        <v>8</v>
      </c>
      <c r="AD30" s="45"/>
      <c r="AE30" s="41" t="s">
        <v>162</v>
      </c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</row>
    <row r="31" spans="1:50" ht="16.5" thickBot="1" x14ac:dyDescent="0.3">
      <c r="A31" s="53" t="s">
        <v>9</v>
      </c>
      <c r="B31" s="54"/>
      <c r="C31" s="58" t="s">
        <v>165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4"/>
      <c r="X31" s="4"/>
      <c r="Y31" s="4"/>
      <c r="Z31" s="4"/>
      <c r="AA31" s="4"/>
      <c r="AB31" s="4"/>
      <c r="AC31" s="53" t="s">
        <v>9</v>
      </c>
      <c r="AD31" s="54"/>
      <c r="AE31" s="58" t="s">
        <v>164</v>
      </c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60"/>
    </row>
    <row r="32" spans="1:5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5">
      <c r="A36" s="5" t="s">
        <v>12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5">
      <c r="A37" s="5" t="s">
        <v>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5.75" x14ac:dyDescent="0.25">
      <c r="A38" s="6" t="s">
        <v>145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5">
      <c r="A39" s="5" t="s">
        <v>146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5">
      <c r="A40" s="5" t="s">
        <v>14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5.75" x14ac:dyDescent="0.25">
      <c r="A41" s="6" t="s">
        <v>15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</sheetData>
  <mergeCells count="56">
    <mergeCell ref="A12:AX12"/>
    <mergeCell ref="A15:V15"/>
    <mergeCell ref="AC15:AX15"/>
    <mergeCell ref="A16:B16"/>
    <mergeCell ref="A17:B17"/>
    <mergeCell ref="C16:V16"/>
    <mergeCell ref="C17:V17"/>
    <mergeCell ref="AC16:AD16"/>
    <mergeCell ref="AE16:AX16"/>
    <mergeCell ref="AC17:AD17"/>
    <mergeCell ref="AE17:AX17"/>
    <mergeCell ref="C18:V18"/>
    <mergeCell ref="C19:V19"/>
    <mergeCell ref="C20:V20"/>
    <mergeCell ref="A26:B26"/>
    <mergeCell ref="C26:V26"/>
    <mergeCell ref="C21:V21"/>
    <mergeCell ref="A18:B18"/>
    <mergeCell ref="A19:B19"/>
    <mergeCell ref="A20:B20"/>
    <mergeCell ref="A21:B21"/>
    <mergeCell ref="AC18:AD18"/>
    <mergeCell ref="AE18:AX18"/>
    <mergeCell ref="AC19:AD19"/>
    <mergeCell ref="AE19:AX19"/>
    <mergeCell ref="AC20:AD20"/>
    <mergeCell ref="A27:B27"/>
    <mergeCell ref="C27:V27"/>
    <mergeCell ref="A28:B28"/>
    <mergeCell ref="C28:V28"/>
    <mergeCell ref="A29:B29"/>
    <mergeCell ref="C29:V29"/>
    <mergeCell ref="AC30:AD30"/>
    <mergeCell ref="AE30:AX30"/>
    <mergeCell ref="AC31:AD31"/>
    <mergeCell ref="AE31:AX31"/>
    <mergeCell ref="A30:B30"/>
    <mergeCell ref="A31:B31"/>
    <mergeCell ref="C31:V31"/>
    <mergeCell ref="C30:V30"/>
    <mergeCell ref="M8:AL8"/>
    <mergeCell ref="C9:AV9"/>
    <mergeCell ref="C10:AU10"/>
    <mergeCell ref="AE28:AX28"/>
    <mergeCell ref="AC29:AD29"/>
    <mergeCell ref="AE29:AX29"/>
    <mergeCell ref="AC25:AX25"/>
    <mergeCell ref="AC26:AD26"/>
    <mergeCell ref="AE26:AX26"/>
    <mergeCell ref="AC27:AD27"/>
    <mergeCell ref="AE27:AX27"/>
    <mergeCell ref="AC28:AD28"/>
    <mergeCell ref="AE20:AX20"/>
    <mergeCell ref="AC21:AD21"/>
    <mergeCell ref="A25:V25"/>
    <mergeCell ref="AE21:AX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R48"/>
  <sheetViews>
    <sheetView showGridLines="0" topLeftCell="A8" zoomScale="115" zoomScaleNormal="115" workbookViewId="0">
      <selection activeCell="M6" sqref="M6:AL6"/>
    </sheetView>
  </sheetViews>
  <sheetFormatPr baseColWidth="10" defaultColWidth="1.7109375" defaultRowHeight="15" x14ac:dyDescent="0.25"/>
  <cols>
    <col min="55" max="55" width="2.140625" bestFit="1" customWidth="1"/>
    <col min="57" max="57" width="2.140625" bestFit="1" customWidth="1"/>
    <col min="59" max="60" width="2.140625" bestFit="1" customWidth="1"/>
    <col min="61" max="61" width="12.7109375" bestFit="1" customWidth="1"/>
    <col min="62" max="63" width="2.140625" bestFit="1" customWidth="1"/>
    <col min="64" max="64" width="2.28515625" customWidth="1"/>
    <col min="65" max="65" width="2.140625" bestFit="1" customWidth="1"/>
    <col min="66" max="66" width="4.28515625" bestFit="1" customWidth="1"/>
  </cols>
  <sheetData>
    <row r="2" spans="1:50" ht="37.5" x14ac:dyDescent="0.7">
      <c r="L2" s="3" t="s">
        <v>0</v>
      </c>
    </row>
    <row r="3" spans="1:50" ht="29.25" x14ac:dyDescent="0.55000000000000004">
      <c r="M3" s="2"/>
      <c r="Q3" s="1" t="str">
        <f>Deckblatt!Q3</f>
        <v>10. attimo-Cup</v>
      </c>
    </row>
    <row r="6" spans="1:50" ht="15.75" x14ac:dyDescent="0.25">
      <c r="M6" s="94" t="s">
        <v>166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50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9" spans="1:50" ht="15.75" x14ac:dyDescent="0.25">
      <c r="A9" s="7"/>
      <c r="B9" s="90" t="s">
        <v>17</v>
      </c>
      <c r="C9" s="90"/>
      <c r="D9" s="90"/>
      <c r="E9" s="90"/>
      <c r="F9" s="90"/>
      <c r="G9" s="93">
        <v>0.41666666666666669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1.0416666666666666E-2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6.9444444444444447E-4</v>
      </c>
      <c r="AQ9" s="91"/>
      <c r="AR9" s="91"/>
      <c r="AS9" s="91"/>
      <c r="AT9" s="91"/>
      <c r="AU9" s="90" t="s">
        <v>20</v>
      </c>
      <c r="AV9" s="90"/>
      <c r="AW9" s="90"/>
    </row>
    <row r="10" spans="1:50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6.5" thickBot="1" x14ac:dyDescent="0.3">
      <c r="A11" s="7"/>
      <c r="B11" s="9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6.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95" t="s">
        <v>2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7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49" t="s">
        <v>4</v>
      </c>
      <c r="L13" s="98"/>
      <c r="M13" s="98"/>
      <c r="N13" s="51" t="str">
        <f>Deckblatt!C16</f>
        <v>SG 07 Untertürkheim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44" t="s">
        <v>5</v>
      </c>
      <c r="L14" s="90"/>
      <c r="M14" s="90"/>
      <c r="N14" s="42" t="str">
        <f>Deckblatt!C17</f>
        <v>Borussia Dortmund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3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44" t="s">
        <v>6</v>
      </c>
      <c r="L15" s="90"/>
      <c r="M15" s="90"/>
      <c r="N15" s="42" t="str">
        <f>Deckblatt!C18</f>
        <v>SV Fellbach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4" t="s">
        <v>7</v>
      </c>
      <c r="L16" s="90"/>
      <c r="M16" s="90"/>
      <c r="N16" s="42" t="str">
        <f>Deckblatt!C19</f>
        <v>SK Rapid Wien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70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44" t="s">
        <v>8</v>
      </c>
      <c r="L17" s="90"/>
      <c r="M17" s="90"/>
      <c r="N17" s="42" t="str">
        <f>Deckblatt!C20</f>
        <v>Fortuna Köln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3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70" ht="16.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53" t="s">
        <v>9</v>
      </c>
      <c r="L18" s="92"/>
      <c r="M18" s="92"/>
      <c r="N18" s="59" t="str">
        <f>Deckblatt!C21</f>
        <v>LASK Linz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70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70" ht="16.5" thickBot="1" x14ac:dyDescent="0.3">
      <c r="A20" s="7"/>
      <c r="B20" s="9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</row>
    <row r="21" spans="1:70" ht="16.5" thickBot="1" x14ac:dyDescent="0.3">
      <c r="A21" s="7"/>
      <c r="B21" s="89" t="s">
        <v>24</v>
      </c>
      <c r="C21" s="86"/>
      <c r="D21" s="86" t="s">
        <v>25</v>
      </c>
      <c r="E21" s="86"/>
      <c r="F21" s="86"/>
      <c r="G21" s="86"/>
      <c r="H21" s="86"/>
      <c r="I21" s="86" t="s">
        <v>26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 t="s">
        <v>27</v>
      </c>
      <c r="AQ21" s="86"/>
      <c r="AR21" s="86"/>
      <c r="AS21" s="86"/>
      <c r="AT21" s="86"/>
      <c r="AU21" s="83"/>
      <c r="AV21" s="84"/>
      <c r="AW21" s="85"/>
      <c r="AX21" s="7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0" ht="15.75" x14ac:dyDescent="0.25">
      <c r="A22" s="7"/>
      <c r="B22" s="88">
        <v>1</v>
      </c>
      <c r="C22" s="79"/>
      <c r="D22" s="81">
        <f>G9</f>
        <v>0.41666666666666669</v>
      </c>
      <c r="E22" s="79"/>
      <c r="F22" s="79"/>
      <c r="G22" s="79"/>
      <c r="H22" s="79"/>
      <c r="I22" s="79" t="str">
        <f>N13</f>
        <v>SG 07 Untertürkheim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" t="s">
        <v>29</v>
      </c>
      <c r="Z22" s="79" t="str">
        <f>N14</f>
        <v>Borussia Dortmund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4" t="s">
        <v>28</v>
      </c>
      <c r="AS22" s="79"/>
      <c r="AT22" s="79"/>
      <c r="AU22" s="79"/>
      <c r="AV22" s="79"/>
      <c r="AW22" s="80"/>
      <c r="AX22" s="7"/>
      <c r="BA22" s="36"/>
      <c r="BB22" s="36"/>
      <c r="BC22" s="36">
        <f>IF(ISBLANK($AP22),0,IF($AP22&gt;$AS22,3,IF($AP22=$AS22,1,0)))</f>
        <v>0</v>
      </c>
      <c r="BD22" s="36"/>
      <c r="BE22" s="36">
        <f>IF(ISBLANK($AS22),0,IF($AP22&lt;$AS22,3,IF($AP22=$AS22,1,0)))</f>
        <v>0</v>
      </c>
      <c r="BF22" s="36"/>
      <c r="BG22" s="37">
        <f t="shared" ref="BG22:BG27" ca="1" si="0">6-$BH22</f>
        <v>1</v>
      </c>
      <c r="BH22" s="37">
        <f ca="1">IF(BN22&gt;BN23,1,0)+IF(BN22&gt;BN24,1,0)+IF(BN22&gt;BN25,1,0)+IF(BN22&gt;BN26,1,0)+IF(BN22&gt;BN27,1,0)</f>
        <v>5</v>
      </c>
      <c r="BI22" s="37" t="str">
        <f>N13</f>
        <v>SG 07 Untertürkheim</v>
      </c>
      <c r="BJ22" s="37">
        <f ca="1">SUMIF($I$22:$X$36,$BI22,$BC$22:$BC$36)+SUMIF($Z$22:$AO$36,$BI22,$BE$22:$BE$36)</f>
        <v>0</v>
      </c>
      <c r="BK22" s="37">
        <f ca="1">SUMIF($I$22:$X$36,$BI22,$AP$22:$AQ$36)+SUMIF($Z$22:$AO$36,$BI22,$AS$22:$AT$36)</f>
        <v>0</v>
      </c>
      <c r="BL22" s="37">
        <f t="shared" ref="BL22:BL27" ca="1" si="1">SUMIF($I$22:$X$36,$BI22,$AS$22:$AT$36)+SUMIF($Z$22:$AO$36,$BI22,$AP$22:$AQ$36)</f>
        <v>0</v>
      </c>
      <c r="BM22" s="37">
        <f t="shared" ref="BM22:BM27" ca="1" si="2">$BK22-$BL22</f>
        <v>0</v>
      </c>
      <c r="BN22" s="37">
        <f ca="1">$BJ22*1000000+$BM22*10000+$BK22+0.6</f>
        <v>0.6</v>
      </c>
      <c r="BO22" s="37"/>
      <c r="BP22" s="37"/>
      <c r="BQ22" s="36"/>
      <c r="BR22" s="36"/>
    </row>
    <row r="23" spans="1:70" ht="15.75" x14ac:dyDescent="0.25">
      <c r="A23" s="7"/>
      <c r="B23" s="72">
        <v>1</v>
      </c>
      <c r="C23" s="61"/>
      <c r="D23" s="82">
        <f>D22+$Y$9+$AP$9</f>
        <v>0.42777777777777781</v>
      </c>
      <c r="E23" s="61"/>
      <c r="F23" s="61"/>
      <c r="G23" s="61"/>
      <c r="H23" s="61"/>
      <c r="I23" s="61" t="str">
        <f>N15</f>
        <v>SV Fellbach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0" t="s">
        <v>29</v>
      </c>
      <c r="Z23" s="61" t="str">
        <f>N16</f>
        <v>SK Rapid Wien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10" t="s">
        <v>28</v>
      </c>
      <c r="AS23" s="61"/>
      <c r="AT23" s="61"/>
      <c r="AU23" s="61"/>
      <c r="AV23" s="61"/>
      <c r="AW23" s="69"/>
      <c r="AX23" s="7"/>
      <c r="BA23" s="36"/>
      <c r="BB23" s="36"/>
      <c r="BC23" s="36">
        <f t="shared" ref="BC23:BC36" si="3">IF(ISBLANK($AP23),0,IF($AP23&gt;$AS23,3,IF($AP23=$AS23,1,0)))</f>
        <v>0</v>
      </c>
      <c r="BD23" s="36"/>
      <c r="BE23" s="36">
        <f t="shared" ref="BE23:BE36" si="4">IF(ISBLANK($AS23),0,IF($AP23&lt;$AS23,3,IF($AP23=$AS23,1,0)))</f>
        <v>0</v>
      </c>
      <c r="BF23" s="36"/>
      <c r="BG23" s="37">
        <f t="shared" ca="1" si="0"/>
        <v>2</v>
      </c>
      <c r="BH23" s="37">
        <f ca="1">IF(BN23&gt;BN24,1,0)+IF(BN23&gt;BN25,1,0)+IF(BN23&gt;BN26,1,0)+IF(BN23&gt;BN27,1,0)+IF(BN23&gt;BN22,1,0)</f>
        <v>4</v>
      </c>
      <c r="BI23" s="37" t="str">
        <f t="shared" ref="BI23:BI27" si="5">N14</f>
        <v>Borussia Dortmund</v>
      </c>
      <c r="BJ23" s="37">
        <f t="shared" ref="BJ23:BJ27" ca="1" si="6">SUMIF($I$22:$X$36,$BI23,$BC$22:$BC$36)+SUMIF($Z$22:$AO$36,$BI23,$BE$22:$BE$36)</f>
        <v>0</v>
      </c>
      <c r="BK23" s="37">
        <f t="shared" ref="BK23:BK27" ca="1" si="7">SUMIF($I$22:$X$36,$BI23,$AP$22:$AQ$36)+SUMIF($Z$22:$AO$36,$BI23,$AS$22:$AT$36)</f>
        <v>0</v>
      </c>
      <c r="BL23" s="37">
        <f t="shared" ca="1" si="1"/>
        <v>0</v>
      </c>
      <c r="BM23" s="37">
        <f t="shared" ca="1" si="2"/>
        <v>0</v>
      </c>
      <c r="BN23" s="37">
        <f ca="1">$BJ23*1000000+$BM23*10000+$BK23+0.5</f>
        <v>0.5</v>
      </c>
      <c r="BO23" s="37"/>
      <c r="BP23" s="37"/>
      <c r="BQ23" s="36"/>
      <c r="BR23" s="36"/>
    </row>
    <row r="24" spans="1:70" ht="16.5" thickBot="1" x14ac:dyDescent="0.3">
      <c r="A24" s="7"/>
      <c r="B24" s="73">
        <v>1</v>
      </c>
      <c r="C24" s="65"/>
      <c r="D24" s="87">
        <f>D23+$Y$9+$AP$9</f>
        <v>0.43888888888888894</v>
      </c>
      <c r="E24" s="65"/>
      <c r="F24" s="65"/>
      <c r="G24" s="65"/>
      <c r="H24" s="65"/>
      <c r="I24" s="65" t="str">
        <f>N17</f>
        <v>Fortuna Köln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2" t="s">
        <v>29</v>
      </c>
      <c r="Z24" s="65" t="str">
        <f>N18</f>
        <v>LASK Linz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 t="s">
        <v>28</v>
      </c>
      <c r="AS24" s="65"/>
      <c r="AT24" s="65"/>
      <c r="AU24" s="65"/>
      <c r="AV24" s="65"/>
      <c r="AW24" s="78"/>
      <c r="AX24" s="7"/>
      <c r="BA24" s="36"/>
      <c r="BB24" s="36"/>
      <c r="BC24" s="36">
        <f t="shared" si="3"/>
        <v>0</v>
      </c>
      <c r="BD24" s="36"/>
      <c r="BE24" s="36">
        <f t="shared" si="4"/>
        <v>0</v>
      </c>
      <c r="BF24" s="36"/>
      <c r="BG24" s="37">
        <f t="shared" ca="1" si="0"/>
        <v>3</v>
      </c>
      <c r="BH24" s="37">
        <f ca="1">IF(BN24&gt;BN25,1,0)+IF(BN24&gt;BN26,1,0)+IF(BN24&gt;BN27,1,0)+IF(BN24&gt;BN22,1,0)+IF(BN24&gt;BN23,1,0)</f>
        <v>3</v>
      </c>
      <c r="BI24" s="37" t="str">
        <f t="shared" si="5"/>
        <v>SV Fellbach</v>
      </c>
      <c r="BJ24" s="37">
        <f t="shared" ca="1" si="6"/>
        <v>0</v>
      </c>
      <c r="BK24" s="37">
        <f t="shared" ca="1" si="7"/>
        <v>0</v>
      </c>
      <c r="BL24" s="37">
        <f t="shared" ca="1" si="1"/>
        <v>0</v>
      </c>
      <c r="BM24" s="37">
        <f t="shared" ca="1" si="2"/>
        <v>0</v>
      </c>
      <c r="BN24" s="37">
        <f ca="1">$BJ24*1000000+$BM24*10000+$BK24+0.4</f>
        <v>0.4</v>
      </c>
      <c r="BO24" s="37"/>
      <c r="BP24" s="37"/>
      <c r="BQ24" s="36"/>
      <c r="BR24" s="36"/>
    </row>
    <row r="25" spans="1:70" ht="15.75" x14ac:dyDescent="0.25">
      <c r="A25" s="7"/>
      <c r="B25" s="88">
        <v>1</v>
      </c>
      <c r="C25" s="79"/>
      <c r="D25" s="81">
        <f t="shared" ref="D25:D35" si="8">D24+$Y$9+$AP$9</f>
        <v>0.45000000000000007</v>
      </c>
      <c r="E25" s="79"/>
      <c r="F25" s="79"/>
      <c r="G25" s="79"/>
      <c r="H25" s="79"/>
      <c r="I25" s="79" t="str">
        <f>N13</f>
        <v>SG 07 Untertürkheim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4" t="s">
        <v>29</v>
      </c>
      <c r="Z25" s="79" t="str">
        <f>N15</f>
        <v>SV Fellbach</v>
      </c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4" t="s">
        <v>28</v>
      </c>
      <c r="AS25" s="79"/>
      <c r="AT25" s="79"/>
      <c r="AU25" s="79"/>
      <c r="AV25" s="79"/>
      <c r="AW25" s="80"/>
      <c r="AX25" s="7"/>
      <c r="BA25" s="36"/>
      <c r="BB25" s="36"/>
      <c r="BC25" s="36">
        <f t="shared" si="3"/>
        <v>0</v>
      </c>
      <c r="BD25" s="36"/>
      <c r="BE25" s="36">
        <f t="shared" si="4"/>
        <v>0</v>
      </c>
      <c r="BF25" s="36"/>
      <c r="BG25" s="37">
        <f t="shared" ca="1" si="0"/>
        <v>4</v>
      </c>
      <c r="BH25" s="37">
        <f ca="1">IF(BN25&gt;BN26,1,0)+IF(BN25&gt;BN27,1,0)+IF(BN25&gt;BN22,1,0)+IF(BN25&gt;BN23,1,0)+IF(BN25&gt;BN24,1,0)</f>
        <v>2</v>
      </c>
      <c r="BI25" s="37" t="str">
        <f t="shared" si="5"/>
        <v>SK Rapid Wien</v>
      </c>
      <c r="BJ25" s="37">
        <f t="shared" ca="1" si="6"/>
        <v>0</v>
      </c>
      <c r="BK25" s="37">
        <f t="shared" ca="1" si="7"/>
        <v>0</v>
      </c>
      <c r="BL25" s="37">
        <f t="shared" ca="1" si="1"/>
        <v>0</v>
      </c>
      <c r="BM25" s="37">
        <f t="shared" ca="1" si="2"/>
        <v>0</v>
      </c>
      <c r="BN25" s="37">
        <f ca="1">$BJ25*1000000+$BM25*10000+$BK25+0.3</f>
        <v>0.3</v>
      </c>
      <c r="BO25" s="37"/>
      <c r="BP25" s="37"/>
      <c r="BQ25" s="36"/>
      <c r="BR25" s="36"/>
    </row>
    <row r="26" spans="1:70" ht="15.75" x14ac:dyDescent="0.25">
      <c r="A26" s="7"/>
      <c r="B26" s="72">
        <v>1</v>
      </c>
      <c r="C26" s="61"/>
      <c r="D26" s="82">
        <f t="shared" si="8"/>
        <v>0.46111111111111119</v>
      </c>
      <c r="E26" s="61"/>
      <c r="F26" s="61"/>
      <c r="G26" s="61"/>
      <c r="H26" s="61"/>
      <c r="I26" s="61" t="str">
        <f>N14</f>
        <v>Borussia Dortmund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10" t="s">
        <v>29</v>
      </c>
      <c r="Z26" s="61" t="str">
        <f>N17</f>
        <v>Fortuna Köln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10" t="s">
        <v>28</v>
      </c>
      <c r="AS26" s="61"/>
      <c r="AT26" s="61"/>
      <c r="AU26" s="61"/>
      <c r="AV26" s="61"/>
      <c r="AW26" s="69"/>
      <c r="AX26" s="7"/>
      <c r="BA26" s="36"/>
      <c r="BB26" s="36"/>
      <c r="BC26" s="36">
        <f t="shared" si="3"/>
        <v>0</v>
      </c>
      <c r="BD26" s="36"/>
      <c r="BE26" s="36">
        <f t="shared" si="4"/>
        <v>0</v>
      </c>
      <c r="BF26" s="36"/>
      <c r="BG26" s="37">
        <f t="shared" ca="1" si="0"/>
        <v>5</v>
      </c>
      <c r="BH26" s="37">
        <f ca="1">IF(BN26&gt;BN27,1,0)+IF(BN26&gt;BN22,1,0)+IF(BN26&gt;BN23,1,0)+IF(BN26&gt;BN24,1,0)+IF(BN26&gt;BN25,1,0)</f>
        <v>1</v>
      </c>
      <c r="BI26" s="37" t="str">
        <f t="shared" si="5"/>
        <v>Fortuna Köln</v>
      </c>
      <c r="BJ26" s="37">
        <f t="shared" ca="1" si="6"/>
        <v>0</v>
      </c>
      <c r="BK26" s="37">
        <f t="shared" ca="1" si="7"/>
        <v>0</v>
      </c>
      <c r="BL26" s="37">
        <f t="shared" ca="1" si="1"/>
        <v>0</v>
      </c>
      <c r="BM26" s="37">
        <f t="shared" ca="1" si="2"/>
        <v>0</v>
      </c>
      <c r="BN26" s="37">
        <f ca="1">$BJ26*1000000+$BM26*10000+$BK26+0.2</f>
        <v>0.2</v>
      </c>
      <c r="BO26" s="37"/>
      <c r="BP26" s="37"/>
      <c r="BQ26" s="36"/>
      <c r="BR26" s="36"/>
    </row>
    <row r="27" spans="1:70" ht="16.5" thickBot="1" x14ac:dyDescent="0.3">
      <c r="A27" s="7"/>
      <c r="B27" s="73">
        <v>1</v>
      </c>
      <c r="C27" s="65"/>
      <c r="D27" s="87">
        <f t="shared" si="8"/>
        <v>0.47222222222222232</v>
      </c>
      <c r="E27" s="65"/>
      <c r="F27" s="65"/>
      <c r="G27" s="65"/>
      <c r="H27" s="65"/>
      <c r="I27" s="65" t="str">
        <f>N16</f>
        <v>SK Rapid Wien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12" t="s">
        <v>29</v>
      </c>
      <c r="Z27" s="65" t="str">
        <f>N18</f>
        <v>LASK Linz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2" t="s">
        <v>28</v>
      </c>
      <c r="AS27" s="65"/>
      <c r="AT27" s="65"/>
      <c r="AU27" s="65"/>
      <c r="AV27" s="65"/>
      <c r="AW27" s="78"/>
      <c r="AX27" s="7"/>
      <c r="BA27" s="36"/>
      <c r="BB27" s="36"/>
      <c r="BC27" s="36">
        <f t="shared" si="3"/>
        <v>0</v>
      </c>
      <c r="BD27" s="36"/>
      <c r="BE27" s="36">
        <f t="shared" si="4"/>
        <v>0</v>
      </c>
      <c r="BF27" s="36"/>
      <c r="BG27" s="37">
        <f t="shared" ca="1" si="0"/>
        <v>6</v>
      </c>
      <c r="BH27" s="37">
        <f ca="1">IF(BN27&gt;BN22,1,0)+IF(BN27&gt;BN23,1,0)+IF(BN27&gt;BN24,1,0)+IF(BN27&gt;BN25,1,0)+IF(BN27&gt;BN26,1,0)</f>
        <v>0</v>
      </c>
      <c r="BI27" s="37" t="str">
        <f t="shared" si="5"/>
        <v>LASK Linz</v>
      </c>
      <c r="BJ27" s="37">
        <f t="shared" ca="1" si="6"/>
        <v>0</v>
      </c>
      <c r="BK27" s="37">
        <f t="shared" ca="1" si="7"/>
        <v>0</v>
      </c>
      <c r="BL27" s="37">
        <f t="shared" ca="1" si="1"/>
        <v>0</v>
      </c>
      <c r="BM27" s="37">
        <f t="shared" ca="1" si="2"/>
        <v>0</v>
      </c>
      <c r="BN27" s="37">
        <f ca="1">$BJ27*1000000+$BM27*10000+$BK27+0.1</f>
        <v>0.1</v>
      </c>
      <c r="BO27" s="37"/>
      <c r="BP27" s="37"/>
      <c r="BQ27" s="36"/>
      <c r="BR27" s="36"/>
    </row>
    <row r="28" spans="1:70" ht="15.75" x14ac:dyDescent="0.25">
      <c r="A28" s="7"/>
      <c r="B28" s="88">
        <v>1</v>
      </c>
      <c r="C28" s="79"/>
      <c r="D28" s="81">
        <f t="shared" si="8"/>
        <v>0.48333333333333345</v>
      </c>
      <c r="E28" s="79"/>
      <c r="F28" s="79"/>
      <c r="G28" s="79"/>
      <c r="H28" s="79"/>
      <c r="I28" s="79" t="str">
        <f>N17</f>
        <v>Fortuna Köln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4" t="s">
        <v>29</v>
      </c>
      <c r="Z28" s="79" t="str">
        <f>N13</f>
        <v>SG 07 Untertürkheim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4" t="s">
        <v>28</v>
      </c>
      <c r="AS28" s="79"/>
      <c r="AT28" s="79"/>
      <c r="AU28" s="79"/>
      <c r="AV28" s="79"/>
      <c r="AW28" s="80"/>
      <c r="AX28" s="7"/>
      <c r="BA28" s="36"/>
      <c r="BB28" s="36"/>
      <c r="BC28" s="36">
        <f t="shared" si="3"/>
        <v>0</v>
      </c>
      <c r="BD28" s="36"/>
      <c r="BE28" s="36">
        <f t="shared" si="4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</row>
    <row r="29" spans="1:70" ht="15.75" x14ac:dyDescent="0.25">
      <c r="A29" s="7"/>
      <c r="B29" s="72">
        <v>1</v>
      </c>
      <c r="C29" s="61"/>
      <c r="D29" s="82">
        <f t="shared" si="8"/>
        <v>0.49444444444444458</v>
      </c>
      <c r="E29" s="61"/>
      <c r="F29" s="61"/>
      <c r="G29" s="61"/>
      <c r="H29" s="61"/>
      <c r="I29" s="61" t="str">
        <f>N14</f>
        <v>Borussia Dortmund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0" t="s">
        <v>29</v>
      </c>
      <c r="Z29" s="61" t="str">
        <f>N16</f>
        <v>SK Rapid Wien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0" t="s">
        <v>28</v>
      </c>
      <c r="AS29" s="61"/>
      <c r="AT29" s="61"/>
      <c r="AU29" s="61"/>
      <c r="AV29" s="61"/>
      <c r="AW29" s="69"/>
      <c r="AX29" s="7"/>
      <c r="BA29" s="36"/>
      <c r="BB29" s="36"/>
      <c r="BC29" s="36">
        <f t="shared" si="3"/>
        <v>0</v>
      </c>
      <c r="BD29" s="36"/>
      <c r="BE29" s="36">
        <f t="shared" si="4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</row>
    <row r="30" spans="1:70" ht="16.5" thickBot="1" x14ac:dyDescent="0.3">
      <c r="A30" s="7"/>
      <c r="B30" s="73">
        <v>1</v>
      </c>
      <c r="C30" s="65"/>
      <c r="D30" s="87">
        <f t="shared" si="8"/>
        <v>0.50555555555555565</v>
      </c>
      <c r="E30" s="65"/>
      <c r="F30" s="65"/>
      <c r="G30" s="65"/>
      <c r="H30" s="65"/>
      <c r="I30" s="65" t="str">
        <f>N18</f>
        <v>LASK Linz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2" t="s">
        <v>29</v>
      </c>
      <c r="Z30" s="65" t="str">
        <f>N15</f>
        <v>SV Fellbach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12" t="s">
        <v>28</v>
      </c>
      <c r="AS30" s="65"/>
      <c r="AT30" s="65"/>
      <c r="AU30" s="65"/>
      <c r="AV30" s="65"/>
      <c r="AW30" s="78"/>
      <c r="AX30" s="7"/>
      <c r="BA30" s="36"/>
      <c r="BB30" s="36"/>
      <c r="BC30" s="36">
        <f t="shared" si="3"/>
        <v>0</v>
      </c>
      <c r="BD30" s="36"/>
      <c r="BE30" s="36">
        <f t="shared" si="4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</row>
    <row r="31" spans="1:70" ht="15.75" x14ac:dyDescent="0.25">
      <c r="A31" s="7"/>
      <c r="B31" s="88">
        <v>1</v>
      </c>
      <c r="C31" s="79"/>
      <c r="D31" s="81">
        <f t="shared" si="8"/>
        <v>0.51666666666666672</v>
      </c>
      <c r="E31" s="79"/>
      <c r="F31" s="79"/>
      <c r="G31" s="79"/>
      <c r="H31" s="79"/>
      <c r="I31" s="79" t="str">
        <f>N13</f>
        <v>SG 07 Untertürkheim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4" t="s">
        <v>29</v>
      </c>
      <c r="Z31" s="79" t="str">
        <f>N16</f>
        <v>SK Rapid Wien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4" t="s">
        <v>28</v>
      </c>
      <c r="AS31" s="79"/>
      <c r="AT31" s="79"/>
      <c r="AU31" s="79"/>
      <c r="AV31" s="79"/>
      <c r="AW31" s="80"/>
      <c r="AX31" s="7"/>
      <c r="BA31" s="36"/>
      <c r="BB31" s="36"/>
      <c r="BC31" s="36">
        <f t="shared" si="3"/>
        <v>0</v>
      </c>
      <c r="BD31" s="36"/>
      <c r="BE31" s="36">
        <f t="shared" si="4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</row>
    <row r="32" spans="1:70" ht="15.75" x14ac:dyDescent="0.25">
      <c r="A32" s="7"/>
      <c r="B32" s="72">
        <v>1</v>
      </c>
      <c r="C32" s="61"/>
      <c r="D32" s="82">
        <f t="shared" si="8"/>
        <v>0.52777777777777779</v>
      </c>
      <c r="E32" s="61"/>
      <c r="F32" s="61"/>
      <c r="G32" s="61"/>
      <c r="H32" s="61"/>
      <c r="I32" s="61" t="str">
        <f>N18</f>
        <v>LASK Linz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0" t="s">
        <v>29</v>
      </c>
      <c r="Z32" s="61" t="str">
        <f>N14</f>
        <v>Borussia Dortmund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10" t="s">
        <v>28</v>
      </c>
      <c r="AS32" s="61"/>
      <c r="AT32" s="61"/>
      <c r="AU32" s="61"/>
      <c r="AV32" s="61"/>
      <c r="AW32" s="69"/>
      <c r="AX32" s="7"/>
      <c r="BA32" s="36"/>
      <c r="BB32" s="36"/>
      <c r="BC32" s="36">
        <f t="shared" si="3"/>
        <v>0</v>
      </c>
      <c r="BD32" s="36"/>
      <c r="BE32" s="36">
        <f t="shared" si="4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</row>
    <row r="33" spans="1:70" ht="16.5" thickBot="1" x14ac:dyDescent="0.3">
      <c r="A33" s="7"/>
      <c r="B33" s="73">
        <v>1</v>
      </c>
      <c r="C33" s="65"/>
      <c r="D33" s="87">
        <f t="shared" si="8"/>
        <v>0.53888888888888886</v>
      </c>
      <c r="E33" s="65"/>
      <c r="F33" s="65"/>
      <c r="G33" s="65"/>
      <c r="H33" s="65"/>
      <c r="I33" s="65" t="str">
        <f>N15</f>
        <v>SV Fellbach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2" t="s">
        <v>29</v>
      </c>
      <c r="Z33" s="65" t="str">
        <f>N17</f>
        <v>Fortuna Köln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2" t="s">
        <v>28</v>
      </c>
      <c r="AS33" s="65"/>
      <c r="AT33" s="65"/>
      <c r="AU33" s="65"/>
      <c r="AV33" s="65"/>
      <c r="AW33" s="78"/>
      <c r="AX33" s="7"/>
      <c r="BA33" s="36"/>
      <c r="BB33" s="36"/>
      <c r="BC33" s="36">
        <f t="shared" si="3"/>
        <v>0</v>
      </c>
      <c r="BD33" s="36"/>
      <c r="BE33" s="36">
        <f t="shared" si="4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</row>
    <row r="34" spans="1:70" ht="15.75" x14ac:dyDescent="0.25">
      <c r="A34" s="7"/>
      <c r="B34" s="88">
        <v>1</v>
      </c>
      <c r="C34" s="79"/>
      <c r="D34" s="81">
        <f t="shared" si="8"/>
        <v>0.54999999999999993</v>
      </c>
      <c r="E34" s="79"/>
      <c r="F34" s="79"/>
      <c r="G34" s="79"/>
      <c r="H34" s="79"/>
      <c r="I34" s="79" t="str">
        <f>N18</f>
        <v>LASK Linz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4" t="s">
        <v>29</v>
      </c>
      <c r="Z34" s="79" t="str">
        <f>N13</f>
        <v>SG 07 Untertürkheim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4" t="s">
        <v>28</v>
      </c>
      <c r="AS34" s="79"/>
      <c r="AT34" s="79"/>
      <c r="AU34" s="79"/>
      <c r="AV34" s="79"/>
      <c r="AW34" s="80"/>
      <c r="AX34" s="7"/>
      <c r="BA34" s="36"/>
      <c r="BB34" s="36"/>
      <c r="BC34" s="36">
        <f t="shared" si="3"/>
        <v>0</v>
      </c>
      <c r="BD34" s="36"/>
      <c r="BE34" s="36">
        <f t="shared" si="4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</row>
    <row r="35" spans="1:70" ht="15.75" x14ac:dyDescent="0.25">
      <c r="A35" s="7"/>
      <c r="B35" s="72">
        <v>1</v>
      </c>
      <c r="C35" s="61"/>
      <c r="D35" s="82">
        <f t="shared" si="8"/>
        <v>0.56111111111111101</v>
      </c>
      <c r="E35" s="61"/>
      <c r="F35" s="61"/>
      <c r="G35" s="61"/>
      <c r="H35" s="61"/>
      <c r="I35" s="61" t="str">
        <f>N14</f>
        <v>Borussia Dortmund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0" t="s">
        <v>29</v>
      </c>
      <c r="Z35" s="61" t="str">
        <f>N15</f>
        <v>SV Fellbach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10" t="s">
        <v>28</v>
      </c>
      <c r="AS35" s="61"/>
      <c r="AT35" s="61"/>
      <c r="AU35" s="61"/>
      <c r="AV35" s="61"/>
      <c r="AW35" s="69"/>
      <c r="AX35" s="7"/>
      <c r="BA35" s="36"/>
      <c r="BB35" s="36"/>
      <c r="BC35" s="36">
        <f t="shared" si="3"/>
        <v>0</v>
      </c>
      <c r="BD35" s="36"/>
      <c r="BE35" s="36">
        <f t="shared" si="4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1:70" ht="16.5" thickBot="1" x14ac:dyDescent="0.3">
      <c r="A36" s="7"/>
      <c r="B36" s="73">
        <v>1</v>
      </c>
      <c r="C36" s="65"/>
      <c r="D36" s="87">
        <f t="shared" ref="D36" si="9">D35+$Y$9+$AP$9</f>
        <v>0.57222222222222208</v>
      </c>
      <c r="E36" s="65"/>
      <c r="F36" s="65"/>
      <c r="G36" s="65"/>
      <c r="H36" s="65"/>
      <c r="I36" s="65" t="str">
        <f>N16</f>
        <v>SK Rapid Wien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2" t="s">
        <v>29</v>
      </c>
      <c r="Z36" s="65" t="str">
        <f>N17</f>
        <v>Fortuna Köln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12" t="s">
        <v>28</v>
      </c>
      <c r="AS36" s="65"/>
      <c r="AT36" s="65"/>
      <c r="AU36" s="65"/>
      <c r="AV36" s="65"/>
      <c r="AW36" s="78"/>
      <c r="AX36" s="7"/>
      <c r="BA36" s="36"/>
      <c r="BB36" s="36"/>
      <c r="BC36" s="36">
        <f t="shared" si="3"/>
        <v>0</v>
      </c>
      <c r="BD36" s="36"/>
      <c r="BE36" s="36">
        <f t="shared" si="4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spans="1:70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</row>
    <row r="38" spans="1:70" ht="16.5" thickBot="1" x14ac:dyDescent="0.3">
      <c r="A38" s="7"/>
      <c r="B38" s="9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</row>
    <row r="39" spans="1:70" ht="15.75" x14ac:dyDescent="0.25">
      <c r="A39" s="8"/>
      <c r="B39" s="8"/>
      <c r="C39" s="8"/>
      <c r="D39" s="8"/>
      <c r="E39" s="8"/>
      <c r="F39" s="8"/>
      <c r="G39" s="8"/>
      <c r="H39" s="76" t="s">
        <v>34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4" t="s">
        <v>33</v>
      </c>
      <c r="AH39" s="74"/>
      <c r="AI39" s="74"/>
      <c r="AJ39" s="74" t="s">
        <v>31</v>
      </c>
      <c r="AK39" s="74"/>
      <c r="AL39" s="74"/>
      <c r="AM39" s="74"/>
      <c r="AN39" s="74"/>
      <c r="AO39" s="74" t="s">
        <v>32</v>
      </c>
      <c r="AP39" s="74"/>
      <c r="AQ39" s="75"/>
      <c r="AR39" s="8"/>
      <c r="AS39" s="8"/>
      <c r="AT39" s="8"/>
      <c r="AU39" s="8"/>
      <c r="AV39" s="8"/>
      <c r="AW39" s="8"/>
      <c r="AX39" s="8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</row>
    <row r="40" spans="1:70" ht="15.75" x14ac:dyDescent="0.25">
      <c r="A40" s="7"/>
      <c r="B40" s="7"/>
      <c r="C40" s="7"/>
      <c r="D40" s="7"/>
      <c r="E40" s="7"/>
      <c r="F40" s="7"/>
      <c r="G40" s="7"/>
      <c r="H40" s="72" t="s">
        <v>4</v>
      </c>
      <c r="I40" s="61"/>
      <c r="J40" s="62" t="str">
        <f ca="1">VLOOKUP(5,BH22:BN27,2,FALSE)</f>
        <v>SG 07 Untertürkheim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70"/>
      <c r="AG40" s="61">
        <f ca="1">VLOOKUP(5,BH22:BN27,3,FALSE)</f>
        <v>0</v>
      </c>
      <c r="AH40" s="61"/>
      <c r="AI40" s="61"/>
      <c r="AJ40" s="61">
        <f ca="1">VLOOKUP(5,BH22:BP27,4,FALSE)</f>
        <v>0</v>
      </c>
      <c r="AK40" s="61"/>
      <c r="AL40" s="10" t="s">
        <v>28</v>
      </c>
      <c r="AM40" s="61">
        <f ca="1">VLOOKUP(5,BH22:BP27,5,FALSE)</f>
        <v>0</v>
      </c>
      <c r="AN40" s="61"/>
      <c r="AO40" s="61">
        <f ca="1">AJ40-AM40</f>
        <v>0</v>
      </c>
      <c r="AP40" s="61"/>
      <c r="AQ40" s="69"/>
      <c r="AR40" s="7"/>
      <c r="AS40" s="7"/>
      <c r="AT40" s="7"/>
      <c r="AU40" s="7"/>
      <c r="AV40" s="7"/>
      <c r="AW40" s="7"/>
      <c r="AX40" s="7"/>
      <c r="BA40" s="36"/>
      <c r="BB40" s="36"/>
      <c r="BC40" s="36"/>
      <c r="BD40" s="36"/>
      <c r="BE40" s="36"/>
      <c r="BF40" s="36"/>
      <c r="BG40" s="36"/>
      <c r="BH40" s="36"/>
      <c r="BI40" s="36" t="str">
        <f ca="1">VLOOKUP(5,BH22:BN27,2,FALSE)</f>
        <v>SG 07 Untertürkheim</v>
      </c>
      <c r="BJ40" s="36"/>
      <c r="BK40" s="36"/>
      <c r="BL40" s="36"/>
      <c r="BM40" s="36"/>
      <c r="BN40" s="36"/>
      <c r="BO40" s="36"/>
      <c r="BP40" s="36"/>
      <c r="BQ40" s="36"/>
      <c r="BR40" s="36"/>
    </row>
    <row r="41" spans="1:70" ht="15.75" x14ac:dyDescent="0.25">
      <c r="A41" s="7"/>
      <c r="B41" s="7"/>
      <c r="C41" s="7"/>
      <c r="D41" s="7"/>
      <c r="E41" s="7"/>
      <c r="F41" s="7"/>
      <c r="G41" s="7"/>
      <c r="H41" s="72" t="s">
        <v>5</v>
      </c>
      <c r="I41" s="61"/>
      <c r="J41" s="62" t="str">
        <f ca="1">VLOOKUP(4,BH22:BP27,2,FALSE)</f>
        <v>Borussia Dortmund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70"/>
      <c r="AG41" s="61">
        <f ca="1">VLOOKUP(4,BH22:BP27,3,FALSE)</f>
        <v>0</v>
      </c>
      <c r="AH41" s="61"/>
      <c r="AI41" s="61"/>
      <c r="AJ41" s="61">
        <f ca="1">VLOOKUP(4,BH22:BP27,4,FALSE)</f>
        <v>0</v>
      </c>
      <c r="AK41" s="61"/>
      <c r="AL41" s="10" t="s">
        <v>28</v>
      </c>
      <c r="AM41" s="61">
        <f ca="1">VLOOKUP(4,BH22:BP27,5,FALSE)</f>
        <v>0</v>
      </c>
      <c r="AN41" s="61"/>
      <c r="AO41" s="62">
        <f t="shared" ref="AO41:AO45" ca="1" si="10">AJ41-AM41</f>
        <v>0</v>
      </c>
      <c r="AP41" s="63"/>
      <c r="AQ41" s="64"/>
      <c r="AR41" s="7"/>
      <c r="AS41" s="7"/>
      <c r="AT41" s="7"/>
      <c r="AU41" s="7"/>
      <c r="AV41" s="7"/>
      <c r="AW41" s="7"/>
      <c r="AX41" s="7"/>
      <c r="BA41" s="36"/>
      <c r="BB41" s="36"/>
      <c r="BC41" s="36"/>
      <c r="BD41" s="36"/>
      <c r="BE41" s="36"/>
      <c r="BF41" s="36"/>
      <c r="BG41" s="36"/>
      <c r="BH41" s="36"/>
      <c r="BI41" s="36" t="str">
        <f ca="1">VLOOKUP(4,BH22:BP27,2,FALSE)</f>
        <v>Borussia Dortmund</v>
      </c>
      <c r="BJ41" s="36"/>
      <c r="BK41" s="36"/>
      <c r="BL41" s="36"/>
      <c r="BM41" s="36"/>
      <c r="BN41" s="36"/>
      <c r="BO41" s="36"/>
      <c r="BP41" s="36"/>
      <c r="BQ41" s="36"/>
      <c r="BR41" s="36"/>
    </row>
    <row r="42" spans="1:70" ht="15.75" x14ac:dyDescent="0.25">
      <c r="A42" s="7"/>
      <c r="B42" s="7"/>
      <c r="C42" s="7"/>
      <c r="D42" s="7"/>
      <c r="E42" s="7"/>
      <c r="F42" s="7"/>
      <c r="G42" s="7"/>
      <c r="H42" s="72" t="s">
        <v>6</v>
      </c>
      <c r="I42" s="61"/>
      <c r="J42" s="62" t="str">
        <f ca="1">VLOOKUP(3,BH22:BP27,2,FALSE)</f>
        <v>SV Fellbach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0"/>
      <c r="AG42" s="61">
        <f ca="1">VLOOKUP(3,BH22:BP27,3,FALSE)</f>
        <v>0</v>
      </c>
      <c r="AH42" s="61"/>
      <c r="AI42" s="61"/>
      <c r="AJ42" s="61">
        <f ca="1">VLOOKUP(3,BH22:BP27,4,FALSE)</f>
        <v>0</v>
      </c>
      <c r="AK42" s="61"/>
      <c r="AL42" s="10" t="s">
        <v>28</v>
      </c>
      <c r="AM42" s="61">
        <f ca="1">VLOOKUP(3,BH22:BP27,5,FALSE)</f>
        <v>0</v>
      </c>
      <c r="AN42" s="61"/>
      <c r="AO42" s="62">
        <f t="shared" ca="1" si="10"/>
        <v>0</v>
      </c>
      <c r="AP42" s="63"/>
      <c r="AQ42" s="64"/>
      <c r="AR42" s="7"/>
      <c r="AS42" s="7"/>
      <c r="AT42" s="7"/>
      <c r="AU42" s="7"/>
      <c r="AV42" s="7"/>
      <c r="AW42" s="7"/>
      <c r="AX42" s="7"/>
      <c r="BA42" s="36"/>
      <c r="BB42" s="36"/>
      <c r="BC42" s="36"/>
      <c r="BD42" s="36"/>
      <c r="BE42" s="36"/>
      <c r="BF42" s="36"/>
      <c r="BG42" s="36"/>
      <c r="BH42" s="36"/>
      <c r="BI42" s="36" t="str">
        <f ca="1">VLOOKUP(3,BH22:BP27,2,FALSE)</f>
        <v>SV Fellbach</v>
      </c>
      <c r="BJ42" s="36"/>
      <c r="BK42" s="36"/>
      <c r="BL42" s="36"/>
      <c r="BM42" s="36"/>
      <c r="BN42" s="36"/>
      <c r="BO42" s="36"/>
      <c r="BP42" s="36"/>
      <c r="BQ42" s="36"/>
      <c r="BR42" s="36"/>
    </row>
    <row r="43" spans="1:70" ht="15.75" x14ac:dyDescent="0.25">
      <c r="A43" s="7"/>
      <c r="B43" s="7"/>
      <c r="C43" s="7"/>
      <c r="D43" s="7"/>
      <c r="E43" s="7"/>
      <c r="F43" s="7"/>
      <c r="G43" s="7"/>
      <c r="H43" s="72" t="s">
        <v>7</v>
      </c>
      <c r="I43" s="61"/>
      <c r="J43" s="62" t="str">
        <f ca="1">VLOOKUP(2,BH22:BP27,2,FALSE)</f>
        <v>SK Rapid Wien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70"/>
      <c r="AG43" s="61">
        <f ca="1">VLOOKUP(2,BH22:BP27,3,FALSE)</f>
        <v>0</v>
      </c>
      <c r="AH43" s="61"/>
      <c r="AI43" s="61"/>
      <c r="AJ43" s="61">
        <f ca="1">VLOOKUP(2,BH22:BP27,4,FALSE)</f>
        <v>0</v>
      </c>
      <c r="AK43" s="61"/>
      <c r="AL43" s="10" t="s">
        <v>28</v>
      </c>
      <c r="AM43" s="61">
        <f ca="1">VLOOKUP(2,BH22:BP27,5,FALSE)</f>
        <v>0</v>
      </c>
      <c r="AN43" s="61"/>
      <c r="AO43" s="62">
        <f t="shared" ca="1" si="10"/>
        <v>0</v>
      </c>
      <c r="AP43" s="63"/>
      <c r="AQ43" s="64"/>
      <c r="AR43" s="7"/>
      <c r="AS43" s="7"/>
      <c r="AT43" s="7"/>
      <c r="AU43" s="7"/>
      <c r="AV43" s="7"/>
      <c r="AW43" s="7"/>
      <c r="AX43" s="7"/>
      <c r="BA43" s="36"/>
      <c r="BB43" s="36"/>
      <c r="BC43" s="36"/>
      <c r="BD43" s="36"/>
      <c r="BE43" s="36"/>
      <c r="BF43" s="36"/>
      <c r="BG43" s="36"/>
      <c r="BH43" s="36"/>
      <c r="BI43" s="36" t="str">
        <f ca="1">VLOOKUP(2,BH22:BP27,2,FALSE)</f>
        <v>SK Rapid Wien</v>
      </c>
      <c r="BJ43" s="36"/>
      <c r="BK43" s="36"/>
      <c r="BL43" s="36"/>
      <c r="BM43" s="36"/>
      <c r="BN43" s="36"/>
      <c r="BO43" s="36"/>
      <c r="BP43" s="36"/>
      <c r="BQ43" s="36"/>
      <c r="BR43" s="36"/>
    </row>
    <row r="44" spans="1:70" ht="15.75" x14ac:dyDescent="0.25">
      <c r="A44" s="7"/>
      <c r="B44" s="7"/>
      <c r="C44" s="7"/>
      <c r="D44" s="7"/>
      <c r="E44" s="7"/>
      <c r="F44" s="7"/>
      <c r="G44" s="7"/>
      <c r="H44" s="72" t="s">
        <v>8</v>
      </c>
      <c r="I44" s="61"/>
      <c r="J44" s="62" t="str">
        <f ca="1">VLOOKUP(1,BH22:BP27,2,FALSE)</f>
        <v>Fortuna Köln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70"/>
      <c r="AG44" s="61">
        <f ca="1">VLOOKUP(1,BH22:BP27,3,FALSE)</f>
        <v>0</v>
      </c>
      <c r="AH44" s="61"/>
      <c r="AI44" s="61"/>
      <c r="AJ44" s="61">
        <f ca="1">VLOOKUP(1,BH22:BP27,4,FALSE)</f>
        <v>0</v>
      </c>
      <c r="AK44" s="61"/>
      <c r="AL44" s="10" t="s">
        <v>28</v>
      </c>
      <c r="AM44" s="61">
        <f ca="1">VLOOKUP(1,BH22:BP27,5,FALSE)</f>
        <v>0</v>
      </c>
      <c r="AN44" s="61"/>
      <c r="AO44" s="62">
        <f t="shared" ca="1" si="10"/>
        <v>0</v>
      </c>
      <c r="AP44" s="63"/>
      <c r="AQ44" s="64"/>
      <c r="AR44" s="7"/>
      <c r="AS44" s="7"/>
      <c r="AT44" s="7"/>
      <c r="AU44" s="7"/>
      <c r="AV44" s="7"/>
      <c r="AW44" s="7"/>
      <c r="AX44" s="7"/>
      <c r="BA44" s="36"/>
      <c r="BB44" s="36"/>
      <c r="BC44" s="36"/>
      <c r="BD44" s="36"/>
      <c r="BE44" s="36"/>
      <c r="BF44" s="36"/>
      <c r="BG44" s="36"/>
      <c r="BH44" s="36"/>
      <c r="BI44" s="36" t="str">
        <f ca="1">VLOOKUP(1,BH22:BP27,2,FALSE)</f>
        <v>Fortuna Köln</v>
      </c>
      <c r="BJ44" s="36"/>
      <c r="BK44" s="36"/>
      <c r="BL44" s="36"/>
      <c r="BM44" s="36"/>
      <c r="BN44" s="36"/>
      <c r="BO44" s="36"/>
      <c r="BP44" s="36"/>
      <c r="BQ44" s="36"/>
      <c r="BR44" s="36"/>
    </row>
    <row r="45" spans="1:70" ht="16.5" thickBot="1" x14ac:dyDescent="0.3">
      <c r="A45" s="7"/>
      <c r="B45" s="7"/>
      <c r="C45" s="7"/>
      <c r="D45" s="7"/>
      <c r="E45" s="7"/>
      <c r="F45" s="7"/>
      <c r="G45" s="7"/>
      <c r="H45" s="73" t="s">
        <v>9</v>
      </c>
      <c r="I45" s="65"/>
      <c r="J45" s="66" t="str">
        <f ca="1">VLOOKUP(0,BH22:BP27,2,FALSE)</f>
        <v>LASK Linz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1"/>
      <c r="AG45" s="65">
        <f ca="1">VLOOKUP(0,BH22:BP27,3,FALSE)</f>
        <v>0</v>
      </c>
      <c r="AH45" s="65"/>
      <c r="AI45" s="65"/>
      <c r="AJ45" s="65">
        <f ca="1">VLOOKUP(0,BH22:BP27,4,FALSE)</f>
        <v>0</v>
      </c>
      <c r="AK45" s="65"/>
      <c r="AL45" s="12" t="s">
        <v>28</v>
      </c>
      <c r="AM45" s="65">
        <f ca="1">VLOOKUP(0,BH22:BP27,5,FALSE)</f>
        <v>0</v>
      </c>
      <c r="AN45" s="65"/>
      <c r="AO45" s="66">
        <f t="shared" ca="1" si="10"/>
        <v>0</v>
      </c>
      <c r="AP45" s="67"/>
      <c r="AQ45" s="68"/>
      <c r="AR45" s="7"/>
      <c r="AS45" s="7"/>
      <c r="AT45" s="7"/>
      <c r="AU45" s="7"/>
      <c r="AV45" s="7"/>
      <c r="AW45" s="7"/>
      <c r="AX45" s="7"/>
      <c r="BA45" s="36"/>
      <c r="BB45" s="36"/>
      <c r="BC45" s="36"/>
      <c r="BD45" s="36"/>
      <c r="BE45" s="36"/>
      <c r="BF45" s="36"/>
      <c r="BG45" s="36"/>
      <c r="BH45" s="36"/>
      <c r="BI45" s="36" t="str">
        <f ca="1">VLOOKUP(0,BH22:BP27,2,FALSE)</f>
        <v>LASK Linz</v>
      </c>
      <c r="BJ45" s="36"/>
      <c r="BK45" s="36"/>
      <c r="BL45" s="36"/>
      <c r="BM45" s="36"/>
      <c r="BN45" s="36"/>
      <c r="BO45" s="36"/>
      <c r="BP45" s="36"/>
      <c r="BQ45" s="36"/>
      <c r="BR45" s="36"/>
    </row>
    <row r="46" spans="1:70" x14ac:dyDescent="0.25">
      <c r="BA46" s="36"/>
      <c r="BB46" s="36"/>
      <c r="BC46" s="36"/>
      <c r="BD46" s="36"/>
      <c r="BE46" s="36"/>
      <c r="BF46" s="36"/>
      <c r="BG46" s="36"/>
      <c r="BH46" s="36"/>
      <c r="BI46" s="36">
        <f>IF(ISBLANK(AS36),0,1)</f>
        <v>0</v>
      </c>
      <c r="BJ46" s="36"/>
      <c r="BK46" s="36"/>
      <c r="BL46" s="36"/>
      <c r="BM46" s="36"/>
      <c r="BN46" s="36"/>
      <c r="BO46" s="36"/>
      <c r="BP46" s="36"/>
      <c r="BQ46" s="36"/>
      <c r="BR46" s="36"/>
    </row>
    <row r="47" spans="1:70" x14ac:dyDescent="0.25"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</row>
    <row r="48" spans="1:70" x14ac:dyDescent="0.25"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</row>
  </sheetData>
  <mergeCells count="174">
    <mergeCell ref="B9:F9"/>
    <mergeCell ref="G9:K9"/>
    <mergeCell ref="L9:N9"/>
    <mergeCell ref="M6:AL6"/>
    <mergeCell ref="A7:AX7"/>
    <mergeCell ref="S9:X9"/>
    <mergeCell ref="K12:AN12"/>
    <mergeCell ref="K13:M13"/>
    <mergeCell ref="K14:M14"/>
    <mergeCell ref="K15:M15"/>
    <mergeCell ref="AK9:AO9"/>
    <mergeCell ref="AP9:AT9"/>
    <mergeCell ref="AU9:AW9"/>
    <mergeCell ref="AD9:AF9"/>
    <mergeCell ref="Y9:AC9"/>
    <mergeCell ref="K16:M16"/>
    <mergeCell ref="K17:M17"/>
    <mergeCell ref="K18:M18"/>
    <mergeCell ref="N13:AN13"/>
    <mergeCell ref="N14:AN14"/>
    <mergeCell ref="N15:AN15"/>
    <mergeCell ref="N16:AN16"/>
    <mergeCell ref="N17:AN17"/>
    <mergeCell ref="N18:AN18"/>
    <mergeCell ref="D21:H21"/>
    <mergeCell ref="D22:H22"/>
    <mergeCell ref="D23:H23"/>
    <mergeCell ref="D24:H24"/>
    <mergeCell ref="D25:H25"/>
    <mergeCell ref="D26:H26"/>
    <mergeCell ref="D27:H27"/>
    <mergeCell ref="B27:C27"/>
    <mergeCell ref="B28:C28"/>
    <mergeCell ref="B21:C21"/>
    <mergeCell ref="B22:C22"/>
    <mergeCell ref="B23:C23"/>
    <mergeCell ref="B24:C24"/>
    <mergeCell ref="B25:C25"/>
    <mergeCell ref="B26:C26"/>
    <mergeCell ref="I22:X22"/>
    <mergeCell ref="Z22:AO22"/>
    <mergeCell ref="I23:X23"/>
    <mergeCell ref="I24:X24"/>
    <mergeCell ref="D28:H28"/>
    <mergeCell ref="D29:H29"/>
    <mergeCell ref="D30:H30"/>
    <mergeCell ref="D31:H31"/>
    <mergeCell ref="D32:H32"/>
    <mergeCell ref="I25:X25"/>
    <mergeCell ref="I26:X26"/>
    <mergeCell ref="I27:X27"/>
    <mergeCell ref="I28:X28"/>
    <mergeCell ref="I29:X29"/>
    <mergeCell ref="I30:X30"/>
    <mergeCell ref="Z26:AO26"/>
    <mergeCell ref="Z27:AO27"/>
    <mergeCell ref="Z28:AO28"/>
    <mergeCell ref="I31:X31"/>
    <mergeCell ref="I32:X32"/>
    <mergeCell ref="Z30:AO30"/>
    <mergeCell ref="B36:C36"/>
    <mergeCell ref="D36:H36"/>
    <mergeCell ref="D33:H33"/>
    <mergeCell ref="B33:C33"/>
    <mergeCell ref="B34:C34"/>
    <mergeCell ref="B35:C35"/>
    <mergeCell ref="B29:C29"/>
    <mergeCell ref="B30:C30"/>
    <mergeCell ref="B31:C31"/>
    <mergeCell ref="B32:C32"/>
    <mergeCell ref="AP31:AQ31"/>
    <mergeCell ref="AP32:AQ32"/>
    <mergeCell ref="AP33:AQ33"/>
    <mergeCell ref="AP34:AQ34"/>
    <mergeCell ref="AP35:AQ35"/>
    <mergeCell ref="Z35:AO35"/>
    <mergeCell ref="Z36:AO36"/>
    <mergeCell ref="Z31:AO31"/>
    <mergeCell ref="Z32:AO32"/>
    <mergeCell ref="Z33:AO33"/>
    <mergeCell ref="Z34:AO34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Z29:AO29"/>
    <mergeCell ref="Z23:AO23"/>
    <mergeCell ref="Z24:AO24"/>
    <mergeCell ref="Z25:AO25"/>
    <mergeCell ref="AU21:AW21"/>
    <mergeCell ref="AU26:AW26"/>
    <mergeCell ref="AU27:AW27"/>
    <mergeCell ref="AU28:AW28"/>
    <mergeCell ref="AU29:AW29"/>
    <mergeCell ref="AU30:AW30"/>
    <mergeCell ref="AU31:AW31"/>
    <mergeCell ref="I21:AO21"/>
    <mergeCell ref="AP21:AT21"/>
    <mergeCell ref="AU22:AW22"/>
    <mergeCell ref="AU23:AW23"/>
    <mergeCell ref="AU24:AW24"/>
    <mergeCell ref="AU25:AW25"/>
    <mergeCell ref="AS31:AT31"/>
    <mergeCell ref="AS22:AT22"/>
    <mergeCell ref="AS23:AT23"/>
    <mergeCell ref="AS24:AT24"/>
    <mergeCell ref="AS25:AT25"/>
    <mergeCell ref="AS26:AT26"/>
    <mergeCell ref="AS27:AT27"/>
    <mergeCell ref="AS28:AT28"/>
    <mergeCell ref="AS29:AT29"/>
    <mergeCell ref="AS30:AT30"/>
    <mergeCell ref="AP30:AQ30"/>
    <mergeCell ref="AO39:AQ39"/>
    <mergeCell ref="AJ39:AN39"/>
    <mergeCell ref="AG39:AI39"/>
    <mergeCell ref="H39:AF39"/>
    <mergeCell ref="AU32:AW32"/>
    <mergeCell ref="AU33:AW33"/>
    <mergeCell ref="AU34:AW34"/>
    <mergeCell ref="AU35:AW35"/>
    <mergeCell ref="AU36:AW36"/>
    <mergeCell ref="AS32:AT32"/>
    <mergeCell ref="AS33:AT33"/>
    <mergeCell ref="AS34:AT34"/>
    <mergeCell ref="AS35:AT35"/>
    <mergeCell ref="AS36:AT36"/>
    <mergeCell ref="AP36:AQ36"/>
    <mergeCell ref="I33:X33"/>
    <mergeCell ref="I34:X34"/>
    <mergeCell ref="I35:X35"/>
    <mergeCell ref="I36:X36"/>
    <mergeCell ref="D34:H34"/>
    <mergeCell ref="D35:H35"/>
    <mergeCell ref="J42:AF42"/>
    <mergeCell ref="J43:AF43"/>
    <mergeCell ref="J44:AF44"/>
    <mergeCell ref="J45:AF45"/>
    <mergeCell ref="H40:I40"/>
    <mergeCell ref="H41:I41"/>
    <mergeCell ref="H42:I42"/>
    <mergeCell ref="H43:I43"/>
    <mergeCell ref="H44:I44"/>
    <mergeCell ref="H45:I45"/>
    <mergeCell ref="AG40:AI40"/>
    <mergeCell ref="AJ40:AK40"/>
    <mergeCell ref="AM40:AN40"/>
    <mergeCell ref="AO40:AQ40"/>
    <mergeCell ref="AG41:AI41"/>
    <mergeCell ref="AJ41:AK41"/>
    <mergeCell ref="AM41:AN41"/>
    <mergeCell ref="AO41:AQ41"/>
    <mergeCell ref="J40:AF40"/>
    <mergeCell ref="J41:AF41"/>
    <mergeCell ref="AG44:AI44"/>
    <mergeCell ref="AJ44:AK44"/>
    <mergeCell ref="AM44:AN44"/>
    <mergeCell ref="AO44:AQ44"/>
    <mergeCell ref="AG45:AI45"/>
    <mergeCell ref="AJ45:AK45"/>
    <mergeCell ref="AM45:AN45"/>
    <mergeCell ref="AO45:AQ45"/>
    <mergeCell ref="AG42:AI42"/>
    <mergeCell ref="AJ42:AK42"/>
    <mergeCell ref="AM42:AN42"/>
    <mergeCell ref="AO42:AQ42"/>
    <mergeCell ref="AG43:AI43"/>
    <mergeCell ref="AJ43:AK43"/>
    <mergeCell ref="AM43:AN43"/>
    <mergeCell ref="AO43:AQ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F47"/>
  <sheetViews>
    <sheetView showGridLines="0" topLeftCell="A20" zoomScale="115" zoomScaleNormal="115" workbookViewId="0">
      <selection activeCell="B22" sqref="B22:C36"/>
    </sheetView>
  </sheetViews>
  <sheetFormatPr baseColWidth="10" defaultColWidth="1.7109375" defaultRowHeight="15" x14ac:dyDescent="0.25"/>
  <cols>
    <col min="55" max="55" width="2.28515625" bestFit="1" customWidth="1"/>
    <col min="57" max="57" width="2.28515625" bestFit="1" customWidth="1"/>
    <col min="59" max="60" width="2.28515625" bestFit="1" customWidth="1"/>
    <col min="61" max="61" width="13.85546875" bestFit="1" customWidth="1"/>
    <col min="62" max="65" width="2.28515625" bestFit="1" customWidth="1"/>
    <col min="66" max="66" width="4.140625" bestFit="1" customWidth="1"/>
  </cols>
  <sheetData>
    <row r="2" spans="1:50" ht="37.5" x14ac:dyDescent="0.7">
      <c r="L2" s="3" t="s">
        <v>0</v>
      </c>
    </row>
    <row r="3" spans="1:50" ht="29.25" x14ac:dyDescent="0.55000000000000004">
      <c r="M3" s="2"/>
      <c r="Q3" s="1" t="str">
        <f>Deckblatt!Q3</f>
        <v>10. attimo-Cup</v>
      </c>
    </row>
    <row r="6" spans="1:50" ht="15.75" x14ac:dyDescent="0.25">
      <c r="M6" s="94" t="s">
        <v>166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50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9" spans="1:50" ht="15.75" x14ac:dyDescent="0.25">
      <c r="A9" s="7"/>
      <c r="B9" s="90" t="s">
        <v>17</v>
      </c>
      <c r="C9" s="90"/>
      <c r="D9" s="90"/>
      <c r="E9" s="90"/>
      <c r="F9" s="90"/>
      <c r="G9" s="93">
        <v>0.41666666666666669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1.0416666666666666E-2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6.9444444444444447E-4</v>
      </c>
      <c r="AQ9" s="91"/>
      <c r="AR9" s="91"/>
      <c r="AS9" s="91"/>
      <c r="AT9" s="91"/>
      <c r="AU9" s="90" t="s">
        <v>20</v>
      </c>
      <c r="AV9" s="90"/>
      <c r="AW9" s="90"/>
    </row>
    <row r="10" spans="1:50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6.5" thickBot="1" x14ac:dyDescent="0.3">
      <c r="A11" s="7"/>
      <c r="B11" s="9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6.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95" t="s">
        <v>3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7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49" t="s">
        <v>4</v>
      </c>
      <c r="L13" s="98"/>
      <c r="M13" s="98"/>
      <c r="N13" s="51" t="str">
        <f>Deckblatt!AE16</f>
        <v>TSV Uhlbach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44" t="s">
        <v>5</v>
      </c>
      <c r="L14" s="90"/>
      <c r="M14" s="90"/>
      <c r="N14" s="42" t="str">
        <f>Deckblatt!AE17</f>
        <v>Borussia Mönchengladbach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3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44" t="s">
        <v>6</v>
      </c>
      <c r="L15" s="90"/>
      <c r="M15" s="90"/>
      <c r="N15" s="42" t="str">
        <f>Deckblatt!AE18</f>
        <v>TSV Wendlingen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4" t="s">
        <v>7</v>
      </c>
      <c r="L16" s="90"/>
      <c r="M16" s="90"/>
      <c r="N16" s="42" t="str">
        <f>Deckblatt!AE19</f>
        <v>Bayer 04 Leverkusen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84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44" t="s">
        <v>8</v>
      </c>
      <c r="L17" s="90"/>
      <c r="M17" s="90"/>
      <c r="N17" s="42" t="str">
        <f>Deckblatt!AE20</f>
        <v>FSV Waiblingen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3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84" ht="16.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53" t="s">
        <v>9</v>
      </c>
      <c r="L18" s="92"/>
      <c r="M18" s="92"/>
      <c r="N18" s="59" t="str">
        <f>Deckblatt!AE21</f>
        <v>Karlsruher SC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84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84" ht="16.5" thickBot="1" x14ac:dyDescent="0.3">
      <c r="A20" s="7"/>
      <c r="B20" s="9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84" ht="16.5" thickBot="1" x14ac:dyDescent="0.3">
      <c r="A21" s="7"/>
      <c r="B21" s="89" t="s">
        <v>24</v>
      </c>
      <c r="C21" s="86"/>
      <c r="D21" s="86" t="s">
        <v>25</v>
      </c>
      <c r="E21" s="86"/>
      <c r="F21" s="86"/>
      <c r="G21" s="86"/>
      <c r="H21" s="86"/>
      <c r="I21" s="86" t="s">
        <v>26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 t="s">
        <v>27</v>
      </c>
      <c r="AQ21" s="86"/>
      <c r="AR21" s="86"/>
      <c r="AS21" s="86"/>
      <c r="AT21" s="86"/>
      <c r="AU21" s="83"/>
      <c r="AV21" s="84"/>
      <c r="AW21" s="85"/>
      <c r="AX21" s="7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84" ht="16.5" thickBot="1" x14ac:dyDescent="0.3">
      <c r="A22" s="7"/>
      <c r="B22" s="38">
        <v>2</v>
      </c>
      <c r="C22" s="39"/>
      <c r="D22" s="81">
        <f>G9</f>
        <v>0.41666666666666669</v>
      </c>
      <c r="E22" s="79"/>
      <c r="F22" s="79"/>
      <c r="G22" s="79"/>
      <c r="H22" s="79"/>
      <c r="I22" s="79" t="str">
        <f>N13</f>
        <v>TSV Uhlbach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" t="s">
        <v>29</v>
      </c>
      <c r="Z22" s="79" t="str">
        <f>N14</f>
        <v>Borussia Mönchengladbach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4" t="s">
        <v>28</v>
      </c>
      <c r="AS22" s="79"/>
      <c r="AT22" s="79"/>
      <c r="AU22" s="79"/>
      <c r="AV22" s="79"/>
      <c r="AW22" s="80"/>
      <c r="AX22" s="7"/>
      <c r="BC22" s="36">
        <f>IF(ISBLANK($AP22),0,IF($AP22&gt;$AS22,3,IF($AP22=$AS22,1,0)))</f>
        <v>0</v>
      </c>
      <c r="BD22" s="36"/>
      <c r="BE22" s="36">
        <f>IF(ISBLANK($AS22),0,IF($AP22&lt;$AS22,3,IF($AP22=$AS22,1,0)))</f>
        <v>0</v>
      </c>
      <c r="BF22" s="36"/>
      <c r="BG22" s="37">
        <f t="shared" ref="BG22:BG27" ca="1" si="0">6-$BH22</f>
        <v>1</v>
      </c>
      <c r="BH22" s="37">
        <f ca="1">IF(BN22&gt;BN23,1,0)+IF(BN22&gt;BN24,1,0)+IF(BN22&gt;BN25,1,0)+IF(BN22&gt;BN26,1,0)+IF(BN22&gt;BN27,1,0)</f>
        <v>5</v>
      </c>
      <c r="BI22" s="37" t="str">
        <f>N13</f>
        <v>TSV Uhlbach</v>
      </c>
      <c r="BJ22" s="37">
        <f t="shared" ref="BJ22:BJ27" ca="1" si="1">SUMIF($I$22:$X$36,$BI22,$BC$22:$BC$36)+SUMIF($Z$22:$AO$36,$BI22,$BE$22:$BE$36)</f>
        <v>0</v>
      </c>
      <c r="BK22" s="37">
        <f t="shared" ref="BK22:BK27" ca="1" si="2">SUMIF($I$22:$X$36,$BI22,$AP$22:$AQ$36)+SUMIF($Z$22:$AO$36,$BI22,$AS$22:$AT$36)</f>
        <v>0</v>
      </c>
      <c r="BL22" s="37">
        <f t="shared" ref="BL22:BL27" ca="1" si="3">SUMIF($I$22:$X$36,$BI22,$AS$22:$AT$36)+SUMIF($Z$22:$AO$36,$BI22,$AP$22:$AQ$36)</f>
        <v>0</v>
      </c>
      <c r="BM22" s="37">
        <f t="shared" ref="BM22:BM27" ca="1" si="4">$BK22-$BL22</f>
        <v>0</v>
      </c>
      <c r="BN22" s="37">
        <f ca="1">$BJ22*1000000+$BM22*10000+$BK22+0.6</f>
        <v>0.6</v>
      </c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ht="16.5" thickBot="1" x14ac:dyDescent="0.3">
      <c r="A23" s="7"/>
      <c r="B23" s="38">
        <v>2</v>
      </c>
      <c r="C23" s="39"/>
      <c r="D23" s="82">
        <f>D22+$Y$9+$AP$9</f>
        <v>0.42777777777777781</v>
      </c>
      <c r="E23" s="61"/>
      <c r="F23" s="61"/>
      <c r="G23" s="61"/>
      <c r="H23" s="61"/>
      <c r="I23" s="61" t="str">
        <f>N15</f>
        <v>TSV Wendlingen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0" t="s">
        <v>29</v>
      </c>
      <c r="Z23" s="61" t="str">
        <f>N16</f>
        <v>Bayer 04 Leverkusen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10" t="s">
        <v>28</v>
      </c>
      <c r="AS23" s="61"/>
      <c r="AT23" s="61"/>
      <c r="AU23" s="61"/>
      <c r="AV23" s="61"/>
      <c r="AW23" s="69"/>
      <c r="AX23" s="7"/>
      <c r="BC23" s="36">
        <f t="shared" ref="BC23:BC36" si="5">IF(ISBLANK($AP23),0,IF($AP23&gt;$AS23,3,IF($AP23=$AS23,1,0)))</f>
        <v>0</v>
      </c>
      <c r="BD23" s="36"/>
      <c r="BE23" s="36">
        <f t="shared" ref="BE23:BE36" si="6">IF(ISBLANK($AS23),0,IF($AP23&lt;$AS23,3,IF($AP23=$AS23,1,0)))</f>
        <v>0</v>
      </c>
      <c r="BF23" s="36"/>
      <c r="BG23" s="37">
        <f t="shared" ca="1" si="0"/>
        <v>2</v>
      </c>
      <c r="BH23" s="37">
        <f ca="1">IF(BN23&gt;BN24,1,0)+IF(BN23&gt;BN25,1,0)+IF(BN23&gt;BN26,1,0)+IF(BN23&gt;BN27,1,0)+IF(BN23&gt;BN22,1,0)</f>
        <v>4</v>
      </c>
      <c r="BI23" s="37" t="str">
        <f t="shared" ref="BI23:BI27" si="7">N14</f>
        <v>Borussia Mönchengladbach</v>
      </c>
      <c r="BJ23" s="37">
        <f t="shared" ca="1" si="1"/>
        <v>0</v>
      </c>
      <c r="BK23" s="37">
        <f t="shared" ca="1" si="2"/>
        <v>0</v>
      </c>
      <c r="BL23" s="37">
        <f t="shared" ca="1" si="3"/>
        <v>0</v>
      </c>
      <c r="BM23" s="37">
        <f t="shared" ca="1" si="4"/>
        <v>0</v>
      </c>
      <c r="BN23" s="37">
        <f ca="1">$BJ23*1000000+$BM23*10000+$BK23+0.5</f>
        <v>0.5</v>
      </c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ht="16.5" thickBot="1" x14ac:dyDescent="0.3">
      <c r="A24" s="7"/>
      <c r="B24" s="38">
        <v>2</v>
      </c>
      <c r="C24" s="39"/>
      <c r="D24" s="87">
        <f>D23+$Y$9+$AP$9</f>
        <v>0.43888888888888894</v>
      </c>
      <c r="E24" s="65"/>
      <c r="F24" s="65"/>
      <c r="G24" s="65"/>
      <c r="H24" s="65"/>
      <c r="I24" s="65" t="str">
        <f>N17</f>
        <v>FSV Waiblingen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2" t="s">
        <v>29</v>
      </c>
      <c r="Z24" s="65" t="str">
        <f>N18</f>
        <v>Karlsruher SC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 t="s">
        <v>28</v>
      </c>
      <c r="AS24" s="65"/>
      <c r="AT24" s="65"/>
      <c r="AU24" s="65"/>
      <c r="AV24" s="65"/>
      <c r="AW24" s="78"/>
      <c r="AX24" s="7"/>
      <c r="BC24" s="36">
        <f t="shared" si="5"/>
        <v>0</v>
      </c>
      <c r="BD24" s="36"/>
      <c r="BE24" s="36">
        <f t="shared" si="6"/>
        <v>0</v>
      </c>
      <c r="BF24" s="36"/>
      <c r="BG24" s="37">
        <f t="shared" ca="1" si="0"/>
        <v>3</v>
      </c>
      <c r="BH24" s="37">
        <f ca="1">IF(BN24&gt;BN25,1,0)+IF(BN24&gt;BN26,1,0)+IF(BN24&gt;BN27,1,0)+IF(BN24&gt;BN22,1,0)+IF(BN24&gt;BN23,1,0)</f>
        <v>3</v>
      </c>
      <c r="BI24" s="37" t="str">
        <f t="shared" si="7"/>
        <v>TSV Wendlingen</v>
      </c>
      <c r="BJ24" s="37">
        <f t="shared" ca="1" si="1"/>
        <v>0</v>
      </c>
      <c r="BK24" s="37">
        <f t="shared" ca="1" si="2"/>
        <v>0</v>
      </c>
      <c r="BL24" s="37">
        <f t="shared" ca="1" si="3"/>
        <v>0</v>
      </c>
      <c r="BM24" s="37">
        <f t="shared" ca="1" si="4"/>
        <v>0</v>
      </c>
      <c r="BN24" s="37">
        <f ca="1">$BJ24*1000000+$BM24*10000+$BK24+0.4</f>
        <v>0.4</v>
      </c>
      <c r="BO24" s="37"/>
      <c r="BP24" s="37"/>
      <c r="BQ24" s="37"/>
      <c r="BR24" s="37"/>
      <c r="BS24" s="37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ht="16.5" thickBot="1" x14ac:dyDescent="0.3">
      <c r="A25" s="7"/>
      <c r="B25" s="38">
        <v>2</v>
      </c>
      <c r="C25" s="39"/>
      <c r="D25" s="81">
        <f t="shared" ref="D25:D36" si="8">D24+$Y$9+$AP$9</f>
        <v>0.45000000000000007</v>
      </c>
      <c r="E25" s="79"/>
      <c r="F25" s="79"/>
      <c r="G25" s="79"/>
      <c r="H25" s="79"/>
      <c r="I25" s="79" t="str">
        <f>N13</f>
        <v>TSV Uhlbach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4" t="s">
        <v>29</v>
      </c>
      <c r="Z25" s="79" t="str">
        <f>N15</f>
        <v>TSV Wendlingen</v>
      </c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4" t="s">
        <v>28</v>
      </c>
      <c r="AS25" s="79"/>
      <c r="AT25" s="79"/>
      <c r="AU25" s="79"/>
      <c r="AV25" s="79"/>
      <c r="AW25" s="80"/>
      <c r="AX25" s="7"/>
      <c r="BC25" s="36">
        <f t="shared" si="5"/>
        <v>0</v>
      </c>
      <c r="BD25" s="36"/>
      <c r="BE25" s="36">
        <f t="shared" si="6"/>
        <v>0</v>
      </c>
      <c r="BF25" s="36"/>
      <c r="BG25" s="37">
        <f t="shared" ca="1" si="0"/>
        <v>4</v>
      </c>
      <c r="BH25" s="37">
        <f ca="1">IF(BN25&gt;BN26,1,0)+IF(BN25&gt;BN27,1,0)+IF(BN25&gt;BN22,1,0)+IF(BN25&gt;BN23,1,0)+IF(BN25&gt;BN24,1,0)</f>
        <v>2</v>
      </c>
      <c r="BI25" s="37" t="str">
        <f t="shared" si="7"/>
        <v>Bayer 04 Leverkusen</v>
      </c>
      <c r="BJ25" s="37">
        <f t="shared" ca="1" si="1"/>
        <v>0</v>
      </c>
      <c r="BK25" s="37">
        <f t="shared" ca="1" si="2"/>
        <v>0</v>
      </c>
      <c r="BL25" s="37">
        <f t="shared" ca="1" si="3"/>
        <v>0</v>
      </c>
      <c r="BM25" s="37">
        <f t="shared" ca="1" si="4"/>
        <v>0</v>
      </c>
      <c r="BN25" s="37">
        <f ca="1">$BJ25*1000000+$BM25*10000+$BK25+0.3</f>
        <v>0.3</v>
      </c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ht="16.5" thickBot="1" x14ac:dyDescent="0.3">
      <c r="A26" s="7"/>
      <c r="B26" s="38">
        <v>2</v>
      </c>
      <c r="C26" s="39"/>
      <c r="D26" s="82">
        <f t="shared" si="8"/>
        <v>0.46111111111111119</v>
      </c>
      <c r="E26" s="61"/>
      <c r="F26" s="61"/>
      <c r="G26" s="61"/>
      <c r="H26" s="61"/>
      <c r="I26" s="61" t="str">
        <f>N14</f>
        <v>Borussia Mönchengladbach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10" t="s">
        <v>29</v>
      </c>
      <c r="Z26" s="61" t="str">
        <f>N17</f>
        <v>FSV Waiblingen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10" t="s">
        <v>28</v>
      </c>
      <c r="AS26" s="61"/>
      <c r="AT26" s="61"/>
      <c r="AU26" s="61"/>
      <c r="AV26" s="61"/>
      <c r="AW26" s="69"/>
      <c r="AX26" s="7"/>
      <c r="BC26" s="36">
        <f t="shared" si="5"/>
        <v>0</v>
      </c>
      <c r="BD26" s="36"/>
      <c r="BE26" s="36">
        <f t="shared" si="6"/>
        <v>0</v>
      </c>
      <c r="BF26" s="36"/>
      <c r="BG26" s="37">
        <f t="shared" ca="1" si="0"/>
        <v>5</v>
      </c>
      <c r="BH26" s="37">
        <f ca="1">IF(BN26&gt;BN27,1,0)+IF(BN26&gt;BN22,1,0)+IF(BN26&gt;BN23,1,0)+IF(BN26&gt;BN24,1,0)+IF(BN26&gt;BN25,1,0)</f>
        <v>1</v>
      </c>
      <c r="BI26" s="37" t="str">
        <f t="shared" si="7"/>
        <v>FSV Waiblingen</v>
      </c>
      <c r="BJ26" s="37">
        <f t="shared" ca="1" si="1"/>
        <v>0</v>
      </c>
      <c r="BK26" s="37">
        <f t="shared" ca="1" si="2"/>
        <v>0</v>
      </c>
      <c r="BL26" s="37">
        <f t="shared" ca="1" si="3"/>
        <v>0</v>
      </c>
      <c r="BM26" s="37">
        <f t="shared" ca="1" si="4"/>
        <v>0</v>
      </c>
      <c r="BN26" s="37">
        <f ca="1">$BJ26*1000000+$BM26*10000+$BK26+0.2</f>
        <v>0.2</v>
      </c>
      <c r="BO26" s="37"/>
      <c r="BP26" s="37"/>
      <c r="BQ26" s="37"/>
      <c r="BR26" s="37"/>
      <c r="BS26" s="37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ht="16.5" thickBot="1" x14ac:dyDescent="0.3">
      <c r="A27" s="7"/>
      <c r="B27" s="38">
        <v>2</v>
      </c>
      <c r="C27" s="39"/>
      <c r="D27" s="87">
        <f t="shared" si="8"/>
        <v>0.47222222222222232</v>
      </c>
      <c r="E27" s="65"/>
      <c r="F27" s="65"/>
      <c r="G27" s="65"/>
      <c r="H27" s="65"/>
      <c r="I27" s="65" t="str">
        <f>N16</f>
        <v>Bayer 04 Leverkusen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12" t="s">
        <v>29</v>
      </c>
      <c r="Z27" s="65" t="str">
        <f>N18</f>
        <v>Karlsruher SC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2" t="s">
        <v>28</v>
      </c>
      <c r="AS27" s="65"/>
      <c r="AT27" s="65"/>
      <c r="AU27" s="65"/>
      <c r="AV27" s="65"/>
      <c r="AW27" s="78"/>
      <c r="AX27" s="7"/>
      <c r="BC27" s="36">
        <f t="shared" si="5"/>
        <v>0</v>
      </c>
      <c r="BD27" s="36"/>
      <c r="BE27" s="36">
        <f t="shared" si="6"/>
        <v>0</v>
      </c>
      <c r="BF27" s="36"/>
      <c r="BG27" s="37">
        <f t="shared" ca="1" si="0"/>
        <v>6</v>
      </c>
      <c r="BH27" s="37">
        <f ca="1">IF(BN27&gt;BN22,1,0)+IF(BN27&gt;BN23,1,0)+IF(BN27&gt;BN24,1,0)+IF(BN27&gt;BN25,1,0)+IF(BN27&gt;BN26,1,0)</f>
        <v>0</v>
      </c>
      <c r="BI27" s="37" t="str">
        <f t="shared" si="7"/>
        <v>Karlsruher SC</v>
      </c>
      <c r="BJ27" s="37">
        <f t="shared" ca="1" si="1"/>
        <v>0</v>
      </c>
      <c r="BK27" s="37">
        <f t="shared" ca="1" si="2"/>
        <v>0</v>
      </c>
      <c r="BL27" s="37">
        <f t="shared" ca="1" si="3"/>
        <v>0</v>
      </c>
      <c r="BM27" s="37">
        <f t="shared" ca="1" si="4"/>
        <v>0</v>
      </c>
      <c r="BN27" s="37">
        <f ca="1">$BJ27*1000000+$BM27*10000+$BK27+0.1</f>
        <v>0.1</v>
      </c>
      <c r="BO27" s="37"/>
      <c r="BP27" s="37"/>
      <c r="BQ27" s="37"/>
      <c r="BR27" s="37"/>
      <c r="BS27" s="37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ht="16.5" thickBot="1" x14ac:dyDescent="0.3">
      <c r="A28" s="7"/>
      <c r="B28" s="38">
        <v>2</v>
      </c>
      <c r="C28" s="39"/>
      <c r="D28" s="81">
        <f t="shared" si="8"/>
        <v>0.48333333333333345</v>
      </c>
      <c r="E28" s="79"/>
      <c r="F28" s="79"/>
      <c r="G28" s="79"/>
      <c r="H28" s="79"/>
      <c r="I28" s="79" t="str">
        <f>N17</f>
        <v>FSV Waiblingen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4" t="s">
        <v>29</v>
      </c>
      <c r="Z28" s="79" t="str">
        <f>N13</f>
        <v>TSV Uhlbach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4" t="s">
        <v>28</v>
      </c>
      <c r="AS28" s="79"/>
      <c r="AT28" s="79"/>
      <c r="AU28" s="79"/>
      <c r="AV28" s="79"/>
      <c r="AW28" s="80"/>
      <c r="AX28" s="7"/>
      <c r="BC28" s="36">
        <f t="shared" si="5"/>
        <v>0</v>
      </c>
      <c r="BD28" s="36"/>
      <c r="BE28" s="36">
        <f t="shared" si="6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84" ht="16.5" thickBot="1" x14ac:dyDescent="0.3">
      <c r="A29" s="7"/>
      <c r="B29" s="38">
        <v>2</v>
      </c>
      <c r="C29" s="39"/>
      <c r="D29" s="82">
        <f t="shared" si="8"/>
        <v>0.49444444444444458</v>
      </c>
      <c r="E29" s="61"/>
      <c r="F29" s="61"/>
      <c r="G29" s="61"/>
      <c r="H29" s="61"/>
      <c r="I29" s="61" t="str">
        <f>N14</f>
        <v>Borussia Mönchengladbach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0" t="s">
        <v>29</v>
      </c>
      <c r="Z29" s="61" t="str">
        <f>N16</f>
        <v>Bayer 04 Leverkusen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0" t="s">
        <v>28</v>
      </c>
      <c r="AS29" s="61"/>
      <c r="AT29" s="61"/>
      <c r="AU29" s="61"/>
      <c r="AV29" s="61"/>
      <c r="AW29" s="69"/>
      <c r="AX29" s="7"/>
      <c r="BC29" s="36">
        <f t="shared" si="5"/>
        <v>0</v>
      </c>
      <c r="BD29" s="36"/>
      <c r="BE29" s="36">
        <f t="shared" si="6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84" ht="16.5" thickBot="1" x14ac:dyDescent="0.3">
      <c r="A30" s="7"/>
      <c r="B30" s="38">
        <v>2</v>
      </c>
      <c r="C30" s="39"/>
      <c r="D30" s="87">
        <f t="shared" si="8"/>
        <v>0.50555555555555565</v>
      </c>
      <c r="E30" s="65"/>
      <c r="F30" s="65"/>
      <c r="G30" s="65"/>
      <c r="H30" s="65"/>
      <c r="I30" s="65" t="str">
        <f>N18</f>
        <v>Karlsruher SC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2" t="s">
        <v>29</v>
      </c>
      <c r="Z30" s="65" t="str">
        <f>N15</f>
        <v>TSV Wendlingen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12" t="s">
        <v>28</v>
      </c>
      <c r="AS30" s="65"/>
      <c r="AT30" s="65"/>
      <c r="AU30" s="65"/>
      <c r="AV30" s="65"/>
      <c r="AW30" s="78"/>
      <c r="AX30" s="7"/>
      <c r="BC30" s="36">
        <f t="shared" si="5"/>
        <v>0</v>
      </c>
      <c r="BD30" s="36"/>
      <c r="BE30" s="36">
        <f t="shared" si="6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84" ht="16.5" thickBot="1" x14ac:dyDescent="0.3">
      <c r="A31" s="7"/>
      <c r="B31" s="38">
        <v>2</v>
      </c>
      <c r="C31" s="39"/>
      <c r="D31" s="81">
        <f t="shared" si="8"/>
        <v>0.51666666666666672</v>
      </c>
      <c r="E31" s="79"/>
      <c r="F31" s="79"/>
      <c r="G31" s="79"/>
      <c r="H31" s="79"/>
      <c r="I31" s="79" t="str">
        <f>N13</f>
        <v>TSV Uhlbach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4" t="s">
        <v>29</v>
      </c>
      <c r="Z31" s="79" t="str">
        <f>N16</f>
        <v>Bayer 04 Leverkusen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4" t="s">
        <v>28</v>
      </c>
      <c r="AS31" s="79"/>
      <c r="AT31" s="79"/>
      <c r="AU31" s="79"/>
      <c r="AV31" s="79"/>
      <c r="AW31" s="80"/>
      <c r="AX31" s="7"/>
      <c r="BC31" s="36">
        <f t="shared" si="5"/>
        <v>0</v>
      </c>
      <c r="BD31" s="36"/>
      <c r="BE31" s="36">
        <f t="shared" si="6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84" ht="16.5" thickBot="1" x14ac:dyDescent="0.3">
      <c r="A32" s="7"/>
      <c r="B32" s="38">
        <v>2</v>
      </c>
      <c r="C32" s="39"/>
      <c r="D32" s="82">
        <f t="shared" si="8"/>
        <v>0.52777777777777779</v>
      </c>
      <c r="E32" s="61"/>
      <c r="F32" s="61"/>
      <c r="G32" s="61"/>
      <c r="H32" s="61"/>
      <c r="I32" s="61" t="str">
        <f>N18</f>
        <v>Karlsruher SC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0" t="s">
        <v>29</v>
      </c>
      <c r="Z32" s="61" t="str">
        <f>N14</f>
        <v>Borussia Mönchengladbach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10" t="s">
        <v>28</v>
      </c>
      <c r="AS32" s="61"/>
      <c r="AT32" s="61"/>
      <c r="AU32" s="61"/>
      <c r="AV32" s="61"/>
      <c r="AW32" s="69"/>
      <c r="AX32" s="7"/>
      <c r="BC32" s="36">
        <f t="shared" si="5"/>
        <v>0</v>
      </c>
      <c r="BD32" s="36"/>
      <c r="BE32" s="36">
        <f t="shared" si="6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ht="16.5" thickBot="1" x14ac:dyDescent="0.3">
      <c r="A33" s="7"/>
      <c r="B33" s="38">
        <v>2</v>
      </c>
      <c r="C33" s="39"/>
      <c r="D33" s="87">
        <f t="shared" si="8"/>
        <v>0.53888888888888886</v>
      </c>
      <c r="E33" s="65"/>
      <c r="F33" s="65"/>
      <c r="G33" s="65"/>
      <c r="H33" s="65"/>
      <c r="I33" s="65" t="str">
        <f>N15</f>
        <v>TSV Wendlingen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2" t="s">
        <v>29</v>
      </c>
      <c r="Z33" s="65" t="str">
        <f>N17</f>
        <v>FSV Waiblingen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2" t="s">
        <v>28</v>
      </c>
      <c r="AS33" s="65"/>
      <c r="AT33" s="65"/>
      <c r="AU33" s="65"/>
      <c r="AV33" s="65"/>
      <c r="AW33" s="78"/>
      <c r="AX33" s="7"/>
      <c r="BC33" s="36">
        <f t="shared" si="5"/>
        <v>0</v>
      </c>
      <c r="BD33" s="36"/>
      <c r="BE33" s="36">
        <f t="shared" si="6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ht="16.5" thickBot="1" x14ac:dyDescent="0.3">
      <c r="A34" s="7"/>
      <c r="B34" s="38">
        <v>2</v>
      </c>
      <c r="C34" s="39"/>
      <c r="D34" s="81">
        <f t="shared" si="8"/>
        <v>0.54999999999999993</v>
      </c>
      <c r="E34" s="79"/>
      <c r="F34" s="79"/>
      <c r="G34" s="79"/>
      <c r="H34" s="79"/>
      <c r="I34" s="79" t="str">
        <f>N18</f>
        <v>Karlsruher SC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4" t="s">
        <v>29</v>
      </c>
      <c r="Z34" s="79" t="str">
        <f>N13</f>
        <v>TSV Uhlbach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4" t="s">
        <v>28</v>
      </c>
      <c r="AS34" s="79"/>
      <c r="AT34" s="79"/>
      <c r="AU34" s="79"/>
      <c r="AV34" s="79"/>
      <c r="AW34" s="80"/>
      <c r="AX34" s="7"/>
      <c r="BC34" s="36">
        <f t="shared" si="5"/>
        <v>0</v>
      </c>
      <c r="BD34" s="36"/>
      <c r="BE34" s="36">
        <f t="shared" si="6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ht="16.5" thickBot="1" x14ac:dyDescent="0.3">
      <c r="A35" s="7"/>
      <c r="B35" s="38">
        <v>2</v>
      </c>
      <c r="C35" s="39"/>
      <c r="D35" s="82">
        <f t="shared" si="8"/>
        <v>0.56111111111111101</v>
      </c>
      <c r="E35" s="61"/>
      <c r="F35" s="61"/>
      <c r="G35" s="61"/>
      <c r="H35" s="61"/>
      <c r="I35" s="61" t="str">
        <f>N14</f>
        <v>Borussia Mönchengladbach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0" t="s">
        <v>29</v>
      </c>
      <c r="Z35" s="61" t="str">
        <f>N15</f>
        <v>TSV Wendlingen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10" t="s">
        <v>28</v>
      </c>
      <c r="AS35" s="61"/>
      <c r="AT35" s="61"/>
      <c r="AU35" s="61"/>
      <c r="AV35" s="61"/>
      <c r="AW35" s="69"/>
      <c r="AX35" s="7"/>
      <c r="BC35" s="36">
        <f t="shared" si="5"/>
        <v>0</v>
      </c>
      <c r="BD35" s="36"/>
      <c r="BE35" s="36">
        <f t="shared" si="6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ht="16.5" thickBot="1" x14ac:dyDescent="0.3">
      <c r="A36" s="7"/>
      <c r="B36" s="38">
        <v>2</v>
      </c>
      <c r="C36" s="39"/>
      <c r="D36" s="87">
        <f t="shared" si="8"/>
        <v>0.57222222222222208</v>
      </c>
      <c r="E36" s="65"/>
      <c r="F36" s="65"/>
      <c r="G36" s="65"/>
      <c r="H36" s="65"/>
      <c r="I36" s="65" t="str">
        <f>N16</f>
        <v>Bayer 04 Leverkusen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2" t="s">
        <v>29</v>
      </c>
      <c r="Z36" s="65" t="str">
        <f>N17</f>
        <v>FSV Waiblingen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12" t="s">
        <v>28</v>
      </c>
      <c r="AS36" s="65"/>
      <c r="AT36" s="65"/>
      <c r="AU36" s="65"/>
      <c r="AV36" s="65"/>
      <c r="AW36" s="78"/>
      <c r="AX36" s="7"/>
      <c r="BC36" s="36">
        <f t="shared" si="5"/>
        <v>0</v>
      </c>
      <c r="BD36" s="36"/>
      <c r="BE36" s="36">
        <f t="shared" si="6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ht="16.5" thickBot="1" x14ac:dyDescent="0.3">
      <c r="A38" s="7"/>
      <c r="B38" s="9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ht="15.75" x14ac:dyDescent="0.25">
      <c r="A39" s="8"/>
      <c r="B39" s="8"/>
      <c r="C39" s="8"/>
      <c r="D39" s="8"/>
      <c r="E39" s="8"/>
      <c r="F39" s="8"/>
      <c r="G39" s="8"/>
      <c r="H39" s="76" t="s">
        <v>34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4" t="s">
        <v>33</v>
      </c>
      <c r="AH39" s="74"/>
      <c r="AI39" s="74"/>
      <c r="AJ39" s="74" t="s">
        <v>31</v>
      </c>
      <c r="AK39" s="74"/>
      <c r="AL39" s="74"/>
      <c r="AM39" s="74"/>
      <c r="AN39" s="74"/>
      <c r="AO39" s="74" t="s">
        <v>32</v>
      </c>
      <c r="AP39" s="74"/>
      <c r="AQ39" s="75"/>
      <c r="AR39" s="8"/>
      <c r="AS39" s="8"/>
      <c r="AT39" s="8"/>
      <c r="AU39" s="8"/>
      <c r="AV39" s="8"/>
      <c r="AW39" s="8"/>
      <c r="AX39" s="8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ht="15.75" x14ac:dyDescent="0.25">
      <c r="A40" s="7"/>
      <c r="B40" s="7"/>
      <c r="C40" s="7"/>
      <c r="D40" s="7"/>
      <c r="E40" s="7"/>
      <c r="F40" s="7"/>
      <c r="G40" s="7"/>
      <c r="H40" s="72" t="s">
        <v>4</v>
      </c>
      <c r="I40" s="61"/>
      <c r="J40" s="62" t="str">
        <f ca="1">VLOOKUP(5,BH22:BN27,2,FALSE)</f>
        <v>TSV Uhlbach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70"/>
      <c r="AG40" s="61">
        <f ca="1">VLOOKUP(5,BH22:BN27,3,FALSE)</f>
        <v>0</v>
      </c>
      <c r="AH40" s="61"/>
      <c r="AI40" s="61"/>
      <c r="AJ40" s="61">
        <f ca="1">VLOOKUP(5,BH22:BP27,4,FALSE)</f>
        <v>0</v>
      </c>
      <c r="AK40" s="61"/>
      <c r="AL40" s="10" t="s">
        <v>28</v>
      </c>
      <c r="AM40" s="61">
        <f ca="1">VLOOKUP(5,BH22:BP27,5,FALSE)</f>
        <v>0</v>
      </c>
      <c r="AN40" s="61"/>
      <c r="AO40" s="61">
        <f ca="1">AJ40-AM40</f>
        <v>0</v>
      </c>
      <c r="AP40" s="61"/>
      <c r="AQ40" s="69"/>
      <c r="AR40" s="7"/>
      <c r="AS40" s="7"/>
      <c r="AT40" s="7"/>
      <c r="AU40" s="7"/>
      <c r="AV40" s="7"/>
      <c r="AW40" s="7"/>
      <c r="AX40" s="7"/>
      <c r="BC40" s="36"/>
      <c r="BD40" s="36"/>
      <c r="BE40" s="36"/>
      <c r="BF40" s="36"/>
      <c r="BG40" s="36"/>
      <c r="BH40" s="36"/>
      <c r="BI40" s="36" t="str">
        <f ca="1">VLOOKUP(5,BH22:BN27,2,FALSE)</f>
        <v>TSV Uhlbach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ht="15.75" x14ac:dyDescent="0.25">
      <c r="A41" s="7"/>
      <c r="B41" s="7"/>
      <c r="C41" s="7"/>
      <c r="D41" s="7"/>
      <c r="E41" s="7"/>
      <c r="F41" s="7"/>
      <c r="G41" s="7"/>
      <c r="H41" s="72" t="s">
        <v>5</v>
      </c>
      <c r="I41" s="61"/>
      <c r="J41" s="62" t="str">
        <f ca="1">VLOOKUP(4,BH22:BP27,2,FALSE)</f>
        <v>Borussia Mönchengladbach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70"/>
      <c r="AG41" s="61">
        <f ca="1">VLOOKUP(4,BH22:BP27,3,FALSE)</f>
        <v>0</v>
      </c>
      <c r="AH41" s="61"/>
      <c r="AI41" s="61"/>
      <c r="AJ41" s="61">
        <f ca="1">VLOOKUP(4,BH22:BP27,4,FALSE)</f>
        <v>0</v>
      </c>
      <c r="AK41" s="61"/>
      <c r="AL41" s="10" t="s">
        <v>28</v>
      </c>
      <c r="AM41" s="61">
        <f ca="1">VLOOKUP(4,BH22:BP27,5,FALSE)</f>
        <v>0</v>
      </c>
      <c r="AN41" s="61"/>
      <c r="AO41" s="62">
        <f t="shared" ref="AO41:AO45" ca="1" si="9">AJ41-AM41</f>
        <v>0</v>
      </c>
      <c r="AP41" s="63"/>
      <c r="AQ41" s="64"/>
      <c r="AR41" s="7"/>
      <c r="AS41" s="7"/>
      <c r="AT41" s="7"/>
      <c r="AU41" s="7"/>
      <c r="AV41" s="7"/>
      <c r="AW41" s="7"/>
      <c r="AX41" s="7"/>
      <c r="BC41" s="36"/>
      <c r="BD41" s="36"/>
      <c r="BE41" s="36"/>
      <c r="BF41" s="36"/>
      <c r="BG41" s="36"/>
      <c r="BH41" s="36"/>
      <c r="BI41" s="36" t="str">
        <f ca="1">VLOOKUP(4,BH22:BP27,2,FALSE)</f>
        <v>Borussia Mönchengladbach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ht="15.75" x14ac:dyDescent="0.25">
      <c r="A42" s="7"/>
      <c r="B42" s="7"/>
      <c r="C42" s="7"/>
      <c r="D42" s="7"/>
      <c r="E42" s="7"/>
      <c r="F42" s="7"/>
      <c r="G42" s="7"/>
      <c r="H42" s="72" t="s">
        <v>6</v>
      </c>
      <c r="I42" s="61"/>
      <c r="J42" s="62" t="str">
        <f ca="1">VLOOKUP(3,BH22:BP27,2,FALSE)</f>
        <v>TSV Wendlingen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0"/>
      <c r="AG42" s="61">
        <f ca="1">VLOOKUP(3,BH22:BP27,3,FALSE)</f>
        <v>0</v>
      </c>
      <c r="AH42" s="61"/>
      <c r="AI42" s="61"/>
      <c r="AJ42" s="61">
        <f ca="1">VLOOKUP(3,BH22:BP27,4,FALSE)</f>
        <v>0</v>
      </c>
      <c r="AK42" s="61"/>
      <c r="AL42" s="10" t="s">
        <v>28</v>
      </c>
      <c r="AM42" s="61">
        <f ca="1">VLOOKUP(3,BH22:BP27,5,FALSE)</f>
        <v>0</v>
      </c>
      <c r="AN42" s="61"/>
      <c r="AO42" s="62">
        <f t="shared" ca="1" si="9"/>
        <v>0</v>
      </c>
      <c r="AP42" s="63"/>
      <c r="AQ42" s="64"/>
      <c r="AR42" s="7"/>
      <c r="AS42" s="7"/>
      <c r="AT42" s="7"/>
      <c r="AU42" s="7"/>
      <c r="AV42" s="7"/>
      <c r="AW42" s="7"/>
      <c r="AX42" s="7"/>
      <c r="BC42" s="36"/>
      <c r="BD42" s="36"/>
      <c r="BE42" s="36"/>
      <c r="BF42" s="36"/>
      <c r="BG42" s="36"/>
      <c r="BH42" s="36"/>
      <c r="BI42" s="36" t="str">
        <f ca="1">VLOOKUP(3,BH22:BP27,2,FALSE)</f>
        <v>TSV Wendlingen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ht="15.75" x14ac:dyDescent="0.25">
      <c r="A43" s="7"/>
      <c r="B43" s="7"/>
      <c r="C43" s="7"/>
      <c r="D43" s="7"/>
      <c r="E43" s="7"/>
      <c r="F43" s="7"/>
      <c r="G43" s="7"/>
      <c r="H43" s="72" t="s">
        <v>7</v>
      </c>
      <c r="I43" s="61"/>
      <c r="J43" s="62" t="str">
        <f ca="1">VLOOKUP(2,BH22:BP27,2,FALSE)</f>
        <v>Bayer 04 Leverkusen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70"/>
      <c r="AG43" s="61">
        <f ca="1">VLOOKUP(2,BH22:BP27,3,FALSE)</f>
        <v>0</v>
      </c>
      <c r="AH43" s="61"/>
      <c r="AI43" s="61"/>
      <c r="AJ43" s="61">
        <f ca="1">VLOOKUP(2,BH22:BP27,4,FALSE)</f>
        <v>0</v>
      </c>
      <c r="AK43" s="61"/>
      <c r="AL43" s="10" t="s">
        <v>28</v>
      </c>
      <c r="AM43" s="61">
        <f ca="1">VLOOKUP(2,BH22:BP27,5,FALSE)</f>
        <v>0</v>
      </c>
      <c r="AN43" s="61"/>
      <c r="AO43" s="62">
        <f t="shared" ca="1" si="9"/>
        <v>0</v>
      </c>
      <c r="AP43" s="63"/>
      <c r="AQ43" s="64"/>
      <c r="AR43" s="7"/>
      <c r="AS43" s="7"/>
      <c r="AT43" s="7"/>
      <c r="AU43" s="7"/>
      <c r="AV43" s="7"/>
      <c r="AW43" s="7"/>
      <c r="AX43" s="7"/>
      <c r="BC43" s="36"/>
      <c r="BD43" s="36"/>
      <c r="BE43" s="36"/>
      <c r="BF43" s="36"/>
      <c r="BG43" s="36"/>
      <c r="BH43" s="36"/>
      <c r="BI43" s="36" t="str">
        <f ca="1">VLOOKUP(2,BH22:BP27,2,FALSE)</f>
        <v>Bayer 04 Leverkusen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ht="15.75" x14ac:dyDescent="0.25">
      <c r="A44" s="7"/>
      <c r="B44" s="7"/>
      <c r="C44" s="7"/>
      <c r="D44" s="7"/>
      <c r="E44" s="7"/>
      <c r="F44" s="7"/>
      <c r="G44" s="7"/>
      <c r="H44" s="72" t="s">
        <v>8</v>
      </c>
      <c r="I44" s="61"/>
      <c r="J44" s="62" t="str">
        <f ca="1">VLOOKUP(1,BH22:BP27,2,FALSE)</f>
        <v>FSV Waiblingen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70"/>
      <c r="AG44" s="61">
        <f ca="1">VLOOKUP(1,BH22:BP27,3,FALSE)</f>
        <v>0</v>
      </c>
      <c r="AH44" s="61"/>
      <c r="AI44" s="61"/>
      <c r="AJ44" s="61">
        <f ca="1">VLOOKUP(1,BH22:BP27,4,FALSE)</f>
        <v>0</v>
      </c>
      <c r="AK44" s="61"/>
      <c r="AL44" s="10" t="s">
        <v>28</v>
      </c>
      <c r="AM44" s="61">
        <f ca="1">VLOOKUP(1,BH22:BP27,5,FALSE)</f>
        <v>0</v>
      </c>
      <c r="AN44" s="61"/>
      <c r="AO44" s="62">
        <f t="shared" ca="1" si="9"/>
        <v>0</v>
      </c>
      <c r="AP44" s="63"/>
      <c r="AQ44" s="64"/>
      <c r="AR44" s="7"/>
      <c r="AS44" s="7"/>
      <c r="AT44" s="7"/>
      <c r="AU44" s="7"/>
      <c r="AV44" s="7"/>
      <c r="AW44" s="7"/>
      <c r="AX44" s="7"/>
      <c r="BC44" s="36"/>
      <c r="BD44" s="36"/>
      <c r="BE44" s="36"/>
      <c r="BF44" s="36"/>
      <c r="BG44" s="36"/>
      <c r="BH44" s="36"/>
      <c r="BI44" s="36" t="str">
        <f ca="1">VLOOKUP(1,BH22:BP27,2,FALSE)</f>
        <v>FSV Waiblingen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16.5" thickBot="1" x14ac:dyDescent="0.3">
      <c r="A45" s="7"/>
      <c r="B45" s="7"/>
      <c r="C45" s="7"/>
      <c r="D45" s="7"/>
      <c r="E45" s="7"/>
      <c r="F45" s="7"/>
      <c r="G45" s="7"/>
      <c r="H45" s="73" t="s">
        <v>9</v>
      </c>
      <c r="I45" s="65"/>
      <c r="J45" s="66" t="str">
        <f ca="1">VLOOKUP(0,BH22:BP27,2,FALSE)</f>
        <v>Karlsruher SC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1"/>
      <c r="AG45" s="65">
        <f ca="1">VLOOKUP(0,BH22:BP27,3,FALSE)</f>
        <v>0</v>
      </c>
      <c r="AH45" s="65"/>
      <c r="AI45" s="65"/>
      <c r="AJ45" s="65">
        <f ca="1">VLOOKUP(0,BH22:BP27,4,FALSE)</f>
        <v>0</v>
      </c>
      <c r="AK45" s="65"/>
      <c r="AL45" s="12" t="s">
        <v>28</v>
      </c>
      <c r="AM45" s="65">
        <f ca="1">VLOOKUP(0,BH22:BP27,5,FALSE)</f>
        <v>0</v>
      </c>
      <c r="AN45" s="65"/>
      <c r="AO45" s="66">
        <f t="shared" ca="1" si="9"/>
        <v>0</v>
      </c>
      <c r="AP45" s="67"/>
      <c r="AQ45" s="68"/>
      <c r="AR45" s="7"/>
      <c r="AS45" s="7"/>
      <c r="AT45" s="7"/>
      <c r="AU45" s="7"/>
      <c r="AV45" s="7"/>
      <c r="AW45" s="7"/>
      <c r="AX45" s="7"/>
      <c r="BC45" s="36"/>
      <c r="BD45" s="36"/>
      <c r="BE45" s="36"/>
      <c r="BF45" s="36"/>
      <c r="BG45" s="36"/>
      <c r="BH45" s="36"/>
      <c r="BI45" s="36" t="str">
        <f ca="1">VLOOKUP(0,BH22:BP27,2,FALSE)</f>
        <v>Karlsruher SC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x14ac:dyDescent="0.25">
      <c r="BC46" s="36"/>
      <c r="BD46" s="36"/>
      <c r="BE46" s="36"/>
      <c r="BF46" s="36"/>
      <c r="BG46" s="36"/>
      <c r="BH46" s="36"/>
      <c r="BI46" s="36">
        <f>IF(ISBLANK(AS36),0,1)</f>
        <v>0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x14ac:dyDescent="0.25"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</sheetData>
  <mergeCells count="159">
    <mergeCell ref="H45:I45"/>
    <mergeCell ref="J45:AF45"/>
    <mergeCell ref="AG45:AI45"/>
    <mergeCell ref="AJ45:AK45"/>
    <mergeCell ref="AM45:AN45"/>
    <mergeCell ref="AO45:AQ45"/>
    <mergeCell ref="H44:I44"/>
    <mergeCell ref="J44:AF44"/>
    <mergeCell ref="AG44:AI44"/>
    <mergeCell ref="AJ44:AK44"/>
    <mergeCell ref="AM44:AN44"/>
    <mergeCell ref="AO44:AQ44"/>
    <mergeCell ref="H43:I43"/>
    <mergeCell ref="J43:AF43"/>
    <mergeCell ref="AG43:AI43"/>
    <mergeCell ref="AJ43:AK43"/>
    <mergeCell ref="AM43:AN43"/>
    <mergeCell ref="AO43:AQ43"/>
    <mergeCell ref="H42:I42"/>
    <mergeCell ref="J42:AF42"/>
    <mergeCell ref="AG42:AI42"/>
    <mergeCell ref="AJ42:AK42"/>
    <mergeCell ref="AM42:AN42"/>
    <mergeCell ref="AO42:AQ42"/>
    <mergeCell ref="H41:I41"/>
    <mergeCell ref="J41:AF41"/>
    <mergeCell ref="AG41:AI41"/>
    <mergeCell ref="AJ41:AK41"/>
    <mergeCell ref="AM41:AN41"/>
    <mergeCell ref="AO41:AQ41"/>
    <mergeCell ref="H39:AF39"/>
    <mergeCell ref="AG39:AI39"/>
    <mergeCell ref="AJ39:AN39"/>
    <mergeCell ref="AO39:AQ39"/>
    <mergeCell ref="H40:I40"/>
    <mergeCell ref="J40:AF40"/>
    <mergeCell ref="AG40:AI40"/>
    <mergeCell ref="AJ40:AK40"/>
    <mergeCell ref="AM40:AN40"/>
    <mergeCell ref="AO40:AQ40"/>
    <mergeCell ref="AU35:AW35"/>
    <mergeCell ref="D36:H36"/>
    <mergeCell ref="I36:X36"/>
    <mergeCell ref="Z36:AO36"/>
    <mergeCell ref="AP36:AQ36"/>
    <mergeCell ref="AS36:AT36"/>
    <mergeCell ref="AU36:AW36"/>
    <mergeCell ref="D35:H35"/>
    <mergeCell ref="I35:X35"/>
    <mergeCell ref="Z35:AO35"/>
    <mergeCell ref="AP35:AQ35"/>
    <mergeCell ref="AS35:AT35"/>
    <mergeCell ref="AU33:AW33"/>
    <mergeCell ref="D34:H34"/>
    <mergeCell ref="I34:X34"/>
    <mergeCell ref="Z34:AO34"/>
    <mergeCell ref="AP34:AQ34"/>
    <mergeCell ref="AS34:AT34"/>
    <mergeCell ref="AU34:AW34"/>
    <mergeCell ref="D33:H33"/>
    <mergeCell ref="I33:X33"/>
    <mergeCell ref="Z33:AO33"/>
    <mergeCell ref="AP33:AQ33"/>
    <mergeCell ref="AS33:AT33"/>
    <mergeCell ref="AU31:AW31"/>
    <mergeCell ref="D32:H32"/>
    <mergeCell ref="I32:X32"/>
    <mergeCell ref="Z32:AO32"/>
    <mergeCell ref="AP32:AQ32"/>
    <mergeCell ref="AS32:AT32"/>
    <mergeCell ref="AU32:AW32"/>
    <mergeCell ref="D31:H31"/>
    <mergeCell ref="I31:X31"/>
    <mergeCell ref="Z31:AO31"/>
    <mergeCell ref="AP31:AQ31"/>
    <mergeCell ref="AS31:AT31"/>
    <mergeCell ref="AU29:AW29"/>
    <mergeCell ref="D30:H30"/>
    <mergeCell ref="I30:X30"/>
    <mergeCell ref="Z30:AO30"/>
    <mergeCell ref="AP30:AQ30"/>
    <mergeCell ref="AS30:AT30"/>
    <mergeCell ref="AU30:AW30"/>
    <mergeCell ref="D29:H29"/>
    <mergeCell ref="I29:X29"/>
    <mergeCell ref="Z29:AO29"/>
    <mergeCell ref="AP29:AQ29"/>
    <mergeCell ref="AS29:AT29"/>
    <mergeCell ref="D28:H28"/>
    <mergeCell ref="I28:X28"/>
    <mergeCell ref="Z28:AO28"/>
    <mergeCell ref="AP28:AQ28"/>
    <mergeCell ref="AS28:AT28"/>
    <mergeCell ref="AU28:AW28"/>
    <mergeCell ref="D27:H27"/>
    <mergeCell ref="I27:X27"/>
    <mergeCell ref="Z27:AO27"/>
    <mergeCell ref="AP27:AQ27"/>
    <mergeCell ref="AS27:AT27"/>
    <mergeCell ref="AU27:AW27"/>
    <mergeCell ref="D26:H26"/>
    <mergeCell ref="I26:X26"/>
    <mergeCell ref="Z26:AO26"/>
    <mergeCell ref="AP26:AQ26"/>
    <mergeCell ref="AS26:AT26"/>
    <mergeCell ref="AU26:AW26"/>
    <mergeCell ref="AU25:AW25"/>
    <mergeCell ref="D25:H25"/>
    <mergeCell ref="I25:X25"/>
    <mergeCell ref="Z25:AO25"/>
    <mergeCell ref="AP25:AQ25"/>
    <mergeCell ref="AS25:AT25"/>
    <mergeCell ref="D23:H23"/>
    <mergeCell ref="I23:X23"/>
    <mergeCell ref="Z23:AO23"/>
    <mergeCell ref="AP23:AQ23"/>
    <mergeCell ref="AS23:AT23"/>
    <mergeCell ref="AU23:AW23"/>
    <mergeCell ref="D24:H24"/>
    <mergeCell ref="I24:X24"/>
    <mergeCell ref="Z24:AO24"/>
    <mergeCell ref="AP24:AQ24"/>
    <mergeCell ref="AS24:AT24"/>
    <mergeCell ref="AU24:AW24"/>
    <mergeCell ref="AU21:AW21"/>
    <mergeCell ref="D22:H22"/>
    <mergeCell ref="I22:X22"/>
    <mergeCell ref="Z22:AO22"/>
    <mergeCell ref="AP22:AQ22"/>
    <mergeCell ref="AS22:AT22"/>
    <mergeCell ref="AU22:AW22"/>
    <mergeCell ref="K18:M18"/>
    <mergeCell ref="N18:AN18"/>
    <mergeCell ref="B21:C21"/>
    <mergeCell ref="D21:H21"/>
    <mergeCell ref="I21:AO21"/>
    <mergeCell ref="AP21:AT21"/>
    <mergeCell ref="K15:M15"/>
    <mergeCell ref="N15:AN15"/>
    <mergeCell ref="K16:M16"/>
    <mergeCell ref="N16:AN16"/>
    <mergeCell ref="K17:M17"/>
    <mergeCell ref="N17:AN17"/>
    <mergeCell ref="AU9:AW9"/>
    <mergeCell ref="K12:AN12"/>
    <mergeCell ref="K13:M13"/>
    <mergeCell ref="N13:AN13"/>
    <mergeCell ref="K14:M14"/>
    <mergeCell ref="N14:AN14"/>
    <mergeCell ref="M6:AL6"/>
    <mergeCell ref="A7:AX7"/>
    <mergeCell ref="B9:F9"/>
    <mergeCell ref="G9:K9"/>
    <mergeCell ref="L9:N9"/>
    <mergeCell ref="S9:X9"/>
    <mergeCell ref="Y9:AC9"/>
    <mergeCell ref="AD9:AF9"/>
    <mergeCell ref="AK9:AO9"/>
    <mergeCell ref="AP9:AT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F47"/>
  <sheetViews>
    <sheetView showGridLines="0" topLeftCell="A6" zoomScale="115" zoomScaleNormal="115" workbookViewId="0">
      <selection activeCell="N18" sqref="N18:AN18"/>
    </sheetView>
  </sheetViews>
  <sheetFormatPr baseColWidth="10" defaultColWidth="1.7109375" defaultRowHeight="15" x14ac:dyDescent="0.25"/>
  <cols>
    <col min="57" max="57" width="2.28515625" bestFit="1" customWidth="1"/>
    <col min="59" max="60" width="2.28515625" bestFit="1" customWidth="1"/>
    <col min="61" max="61" width="13.7109375" bestFit="1" customWidth="1"/>
    <col min="62" max="65" width="2.28515625" bestFit="1" customWidth="1"/>
    <col min="66" max="66" width="4.140625" bestFit="1" customWidth="1"/>
  </cols>
  <sheetData>
    <row r="2" spans="1:50" ht="37.5" x14ac:dyDescent="0.7">
      <c r="L2" s="3" t="s">
        <v>0</v>
      </c>
    </row>
    <row r="3" spans="1:50" ht="29.25" x14ac:dyDescent="0.55000000000000004">
      <c r="M3" s="2"/>
      <c r="Q3" s="1" t="str">
        <f>Deckblatt!Q3</f>
        <v>10. attimo-Cup</v>
      </c>
    </row>
    <row r="6" spans="1:50" ht="15.75" x14ac:dyDescent="0.25">
      <c r="M6" s="94" t="s">
        <v>166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50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9" spans="1:50" ht="15.75" x14ac:dyDescent="0.25">
      <c r="A9" s="7"/>
      <c r="B9" s="90" t="s">
        <v>17</v>
      </c>
      <c r="C9" s="90"/>
      <c r="D9" s="90"/>
      <c r="E9" s="90"/>
      <c r="F9" s="90"/>
      <c r="G9" s="93">
        <v>0.60416666666666663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1.0416666666666666E-2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6.9444444444444447E-4</v>
      </c>
      <c r="AQ9" s="91"/>
      <c r="AR9" s="91"/>
      <c r="AS9" s="91"/>
      <c r="AT9" s="91"/>
      <c r="AU9" s="90" t="s">
        <v>20</v>
      </c>
      <c r="AV9" s="90"/>
      <c r="AW9" s="90"/>
    </row>
    <row r="10" spans="1:50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6.5" thickBot="1" x14ac:dyDescent="0.3">
      <c r="A11" s="7"/>
      <c r="B11" s="9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6.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95" t="s">
        <v>10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7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49" t="s">
        <v>4</v>
      </c>
      <c r="L13" s="98"/>
      <c r="M13" s="98"/>
      <c r="N13" s="51" t="str">
        <f>Deckblatt!$C26</f>
        <v>TSV 1860 München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44" t="s">
        <v>5</v>
      </c>
      <c r="L14" s="90"/>
      <c r="M14" s="90"/>
      <c r="N14" s="42" t="str">
        <f>Deckblatt!$C27</f>
        <v>FV Löchgau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3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44" t="s">
        <v>6</v>
      </c>
      <c r="L15" s="90"/>
      <c r="M15" s="90"/>
      <c r="N15" s="42" t="str">
        <f>Deckblatt!$C28</f>
        <v>TSG 1899 Hoffenheim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4" t="s">
        <v>7</v>
      </c>
      <c r="L16" s="90"/>
      <c r="M16" s="90"/>
      <c r="N16" s="42" t="str">
        <f>Deckblatt!$C29</f>
        <v>1. FC Nürnberg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84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44" t="s">
        <v>8</v>
      </c>
      <c r="L17" s="90"/>
      <c r="M17" s="90"/>
      <c r="N17" s="42" t="str">
        <f>Deckblatt!$C30</f>
        <v>TSF Ditzingen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3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84" ht="16.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53" t="s">
        <v>9</v>
      </c>
      <c r="L18" s="92"/>
      <c r="M18" s="92"/>
      <c r="N18" s="59" t="str">
        <f>Deckblatt!$C31</f>
        <v>SV Vaihingen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84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84" ht="16.5" thickBot="1" x14ac:dyDescent="0.3">
      <c r="A20" s="7"/>
      <c r="B20" s="9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84" ht="16.5" thickBot="1" x14ac:dyDescent="0.3">
      <c r="A21" s="7"/>
      <c r="B21" s="89" t="s">
        <v>24</v>
      </c>
      <c r="C21" s="86"/>
      <c r="D21" s="86" t="s">
        <v>25</v>
      </c>
      <c r="E21" s="86"/>
      <c r="F21" s="86"/>
      <c r="G21" s="86"/>
      <c r="H21" s="86"/>
      <c r="I21" s="86" t="s">
        <v>26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 t="s">
        <v>27</v>
      </c>
      <c r="AQ21" s="86"/>
      <c r="AR21" s="86"/>
      <c r="AS21" s="86"/>
      <c r="AT21" s="86"/>
      <c r="AU21" s="83"/>
      <c r="AV21" s="84"/>
      <c r="AW21" s="85"/>
      <c r="AX21" s="7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84" ht="15.75" x14ac:dyDescent="0.25">
      <c r="A22" s="7"/>
      <c r="B22" s="88">
        <v>1</v>
      </c>
      <c r="C22" s="79"/>
      <c r="D22" s="81">
        <f>G9</f>
        <v>0.60416666666666663</v>
      </c>
      <c r="E22" s="79"/>
      <c r="F22" s="79"/>
      <c r="G22" s="79"/>
      <c r="H22" s="79"/>
      <c r="I22" s="79" t="str">
        <f>N13</f>
        <v>TSV 1860 München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" t="s">
        <v>29</v>
      </c>
      <c r="Z22" s="79" t="str">
        <f>N14</f>
        <v>FV Löchgau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4" t="s">
        <v>28</v>
      </c>
      <c r="AS22" s="79"/>
      <c r="AT22" s="79"/>
      <c r="AU22" s="79"/>
      <c r="AV22" s="79"/>
      <c r="AW22" s="80"/>
      <c r="AX22" s="7"/>
      <c r="BC22">
        <f>IF(ISBLANK($AP22),0,IF($AP22&gt;$AS22,3,IF($AP22=$AS22,1,0)))</f>
        <v>0</v>
      </c>
      <c r="BE22" s="36">
        <f>IF(ISBLANK($AS22),0,IF($AP22&lt;$AS22,3,IF($AP22=$AS22,1,0)))</f>
        <v>0</v>
      </c>
      <c r="BF22" s="36"/>
      <c r="BG22" s="37">
        <f t="shared" ref="BG22:BG27" ca="1" si="0">6-$BH22</f>
        <v>1</v>
      </c>
      <c r="BH22" s="37">
        <f ca="1">IF(BN22&gt;BN23,1,0)+IF(BN22&gt;BN24,1,0)+IF(BN22&gt;BN25,1,0)+IF(BN22&gt;BN26,1,0)+IF(BN22&gt;BN27,1,0)</f>
        <v>5</v>
      </c>
      <c r="BI22" s="37" t="str">
        <f>N13</f>
        <v>TSV 1860 München</v>
      </c>
      <c r="BJ22" s="37">
        <f t="shared" ref="BJ22:BJ27" ca="1" si="1">SUMIF($I$22:$X$36,$BI22,$BC$22:$BC$36)+SUMIF($Z$22:$AO$36,$BI22,$BE$22:$BE$36)</f>
        <v>0</v>
      </c>
      <c r="BK22" s="37">
        <f t="shared" ref="BK22:BK27" ca="1" si="2">SUMIF($I$22:$X$36,$BI22,$AP$22:$AQ$36)+SUMIF($Z$22:$AO$36,$BI22,$AS$22:$AT$36)</f>
        <v>0</v>
      </c>
      <c r="BL22" s="37">
        <f t="shared" ref="BL22:BL27" ca="1" si="3">SUMIF($I$22:$X$36,$BI22,$AS$22:$AT$36)+SUMIF($Z$22:$AO$36,$BI22,$AP$22:$AQ$36)</f>
        <v>0</v>
      </c>
      <c r="BM22" s="37">
        <f t="shared" ref="BM22:BM27" ca="1" si="4">$BK22-$BL22</f>
        <v>0</v>
      </c>
      <c r="BN22" s="37">
        <f ca="1">$BJ22*1000000+$BM22*10000+$BK22+0.6</f>
        <v>0.6</v>
      </c>
      <c r="BO22" s="37"/>
      <c r="BP22" s="37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ht="15.75" x14ac:dyDescent="0.25">
      <c r="A23" s="7"/>
      <c r="B23" s="72">
        <v>1</v>
      </c>
      <c r="C23" s="61"/>
      <c r="D23" s="82">
        <f>D22+$Y$9+$AP$9</f>
        <v>0.6152777777777777</v>
      </c>
      <c r="E23" s="61"/>
      <c r="F23" s="61"/>
      <c r="G23" s="61"/>
      <c r="H23" s="61"/>
      <c r="I23" s="61" t="str">
        <f>N15</f>
        <v>TSG 1899 Hoffenheim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0" t="s">
        <v>29</v>
      </c>
      <c r="Z23" s="61" t="str">
        <f>N16</f>
        <v>1. FC Nürnberg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10" t="s">
        <v>28</v>
      </c>
      <c r="AS23" s="61"/>
      <c r="AT23" s="61"/>
      <c r="AU23" s="61"/>
      <c r="AV23" s="61"/>
      <c r="AW23" s="69"/>
      <c r="AX23" s="7"/>
      <c r="BC23">
        <f t="shared" ref="BC23:BC36" si="5">IF(ISBLANK($AP23),0,IF($AP23&gt;$AS23,3,IF($AP23=$AS23,1,0)))</f>
        <v>0</v>
      </c>
      <c r="BE23" s="36">
        <f t="shared" ref="BE23:BE36" si="6">IF(ISBLANK($AS23),0,IF($AP23&lt;$AS23,3,IF($AP23=$AS23,1,0)))</f>
        <v>0</v>
      </c>
      <c r="BF23" s="36"/>
      <c r="BG23" s="37">
        <f t="shared" ca="1" si="0"/>
        <v>2</v>
      </c>
      <c r="BH23" s="37">
        <f ca="1">IF(BN23&gt;BN24,1,0)+IF(BN23&gt;BN25,1,0)+IF(BN23&gt;BN26,1,0)+IF(BN23&gt;BN27,1,0)+IF(BN23&gt;BN22,1,0)</f>
        <v>4</v>
      </c>
      <c r="BI23" s="37" t="str">
        <f t="shared" ref="BI23:BI27" si="7">N14</f>
        <v>FV Löchgau</v>
      </c>
      <c r="BJ23" s="37">
        <f t="shared" ca="1" si="1"/>
        <v>0</v>
      </c>
      <c r="BK23" s="37">
        <f t="shared" ca="1" si="2"/>
        <v>0</v>
      </c>
      <c r="BL23" s="37">
        <f t="shared" ca="1" si="3"/>
        <v>0</v>
      </c>
      <c r="BM23" s="37">
        <f t="shared" ca="1" si="4"/>
        <v>0</v>
      </c>
      <c r="BN23" s="37">
        <f ca="1">$BJ23*1000000+$BM23*10000+$BK23+0.5</f>
        <v>0.5</v>
      </c>
      <c r="BO23" s="37"/>
      <c r="BP23" s="37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ht="16.5" thickBot="1" x14ac:dyDescent="0.3">
      <c r="A24" s="7"/>
      <c r="B24" s="73">
        <v>1</v>
      </c>
      <c r="C24" s="65"/>
      <c r="D24" s="87">
        <f>D23+$Y$9+$AP$9</f>
        <v>0.62638888888888877</v>
      </c>
      <c r="E24" s="65"/>
      <c r="F24" s="65"/>
      <c r="G24" s="65"/>
      <c r="H24" s="65"/>
      <c r="I24" s="65" t="str">
        <f>N17</f>
        <v>TSF Ditzingen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2" t="s">
        <v>29</v>
      </c>
      <c r="Z24" s="65" t="str">
        <f>N18</f>
        <v>SV Vaihingen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 t="s">
        <v>28</v>
      </c>
      <c r="AS24" s="65"/>
      <c r="AT24" s="65"/>
      <c r="AU24" s="65"/>
      <c r="AV24" s="65"/>
      <c r="AW24" s="78"/>
      <c r="AX24" s="7"/>
      <c r="BC24">
        <f t="shared" si="5"/>
        <v>0</v>
      </c>
      <c r="BE24" s="36">
        <f t="shared" si="6"/>
        <v>0</v>
      </c>
      <c r="BF24" s="36"/>
      <c r="BG24" s="37">
        <f t="shared" ca="1" si="0"/>
        <v>3</v>
      </c>
      <c r="BH24" s="37">
        <f ca="1">IF(BN24&gt;BN25,1,0)+IF(BN24&gt;BN26,1,0)+IF(BN24&gt;BN27,1,0)+IF(BN24&gt;BN22,1,0)+IF(BN24&gt;BN23,1,0)</f>
        <v>3</v>
      </c>
      <c r="BI24" s="37" t="str">
        <f t="shared" si="7"/>
        <v>TSG 1899 Hoffenheim</v>
      </c>
      <c r="BJ24" s="37">
        <f t="shared" ca="1" si="1"/>
        <v>0</v>
      </c>
      <c r="BK24" s="37">
        <f t="shared" ca="1" si="2"/>
        <v>0</v>
      </c>
      <c r="BL24" s="37">
        <f t="shared" ca="1" si="3"/>
        <v>0</v>
      </c>
      <c r="BM24" s="37">
        <f t="shared" ca="1" si="4"/>
        <v>0</v>
      </c>
      <c r="BN24" s="37">
        <f ca="1">$BJ24*1000000+$BM24*10000+$BK24+0.4</f>
        <v>0.4</v>
      </c>
      <c r="BO24" s="37"/>
      <c r="BP24" s="37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ht="15.75" x14ac:dyDescent="0.25">
      <c r="A25" s="7"/>
      <c r="B25" s="88">
        <v>1</v>
      </c>
      <c r="C25" s="79"/>
      <c r="D25" s="81">
        <f t="shared" ref="D25:D36" si="8">D24+$Y$9+$AP$9</f>
        <v>0.63749999999999984</v>
      </c>
      <c r="E25" s="79"/>
      <c r="F25" s="79"/>
      <c r="G25" s="79"/>
      <c r="H25" s="79"/>
      <c r="I25" s="79" t="str">
        <f>N13</f>
        <v>TSV 1860 München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4" t="s">
        <v>29</v>
      </c>
      <c r="Z25" s="79" t="str">
        <f>N15</f>
        <v>TSG 1899 Hoffenheim</v>
      </c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4" t="s">
        <v>28</v>
      </c>
      <c r="AS25" s="79"/>
      <c r="AT25" s="79"/>
      <c r="AU25" s="79"/>
      <c r="AV25" s="79"/>
      <c r="AW25" s="80"/>
      <c r="AX25" s="7"/>
      <c r="BC25">
        <f t="shared" si="5"/>
        <v>0</v>
      </c>
      <c r="BE25" s="36">
        <f t="shared" si="6"/>
        <v>0</v>
      </c>
      <c r="BF25" s="36"/>
      <c r="BG25" s="37">
        <f t="shared" ca="1" si="0"/>
        <v>4</v>
      </c>
      <c r="BH25" s="37">
        <f ca="1">IF(BN25&gt;BN26,1,0)+IF(BN25&gt;BN27,1,0)+IF(BN25&gt;BN22,1,0)+IF(BN25&gt;BN23,1,0)+IF(BN25&gt;BN24,1,0)</f>
        <v>2</v>
      </c>
      <c r="BI25" s="37" t="str">
        <f t="shared" si="7"/>
        <v>1. FC Nürnberg</v>
      </c>
      <c r="BJ25" s="37">
        <f t="shared" ca="1" si="1"/>
        <v>0</v>
      </c>
      <c r="BK25" s="37">
        <f t="shared" ca="1" si="2"/>
        <v>0</v>
      </c>
      <c r="BL25" s="37">
        <f t="shared" ca="1" si="3"/>
        <v>0</v>
      </c>
      <c r="BM25" s="37">
        <f t="shared" ca="1" si="4"/>
        <v>0</v>
      </c>
      <c r="BN25" s="37">
        <f ca="1">$BJ25*1000000+$BM25*10000+$BK25+0.3</f>
        <v>0.3</v>
      </c>
      <c r="BO25" s="37"/>
      <c r="BP25" s="37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ht="15.75" x14ac:dyDescent="0.25">
      <c r="A26" s="7"/>
      <c r="B26" s="72">
        <v>1</v>
      </c>
      <c r="C26" s="61"/>
      <c r="D26" s="82">
        <f t="shared" si="8"/>
        <v>0.64861111111111092</v>
      </c>
      <c r="E26" s="61"/>
      <c r="F26" s="61"/>
      <c r="G26" s="61"/>
      <c r="H26" s="61"/>
      <c r="I26" s="61" t="str">
        <f>N14</f>
        <v>FV Löchgau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10" t="s">
        <v>29</v>
      </c>
      <c r="Z26" s="61" t="str">
        <f>N17</f>
        <v>TSF Ditzingen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10" t="s">
        <v>28</v>
      </c>
      <c r="AS26" s="61"/>
      <c r="AT26" s="61"/>
      <c r="AU26" s="61"/>
      <c r="AV26" s="61"/>
      <c r="AW26" s="69"/>
      <c r="AX26" s="7"/>
      <c r="BC26">
        <f t="shared" si="5"/>
        <v>0</v>
      </c>
      <c r="BE26" s="36">
        <f t="shared" si="6"/>
        <v>0</v>
      </c>
      <c r="BF26" s="36"/>
      <c r="BG26" s="37">
        <f t="shared" ca="1" si="0"/>
        <v>5</v>
      </c>
      <c r="BH26" s="37">
        <f ca="1">IF(BN26&gt;BN27,1,0)+IF(BN26&gt;BN22,1,0)+IF(BN26&gt;BN23,1,0)+IF(BN26&gt;BN24,1,0)+IF(BN26&gt;BN25,1,0)</f>
        <v>1</v>
      </c>
      <c r="BI26" s="37" t="str">
        <f t="shared" si="7"/>
        <v>TSF Ditzingen</v>
      </c>
      <c r="BJ26" s="37">
        <f t="shared" ca="1" si="1"/>
        <v>0</v>
      </c>
      <c r="BK26" s="37">
        <f t="shared" ca="1" si="2"/>
        <v>0</v>
      </c>
      <c r="BL26" s="37">
        <f t="shared" ca="1" si="3"/>
        <v>0</v>
      </c>
      <c r="BM26" s="37">
        <f t="shared" ca="1" si="4"/>
        <v>0</v>
      </c>
      <c r="BN26" s="37">
        <f ca="1">$BJ26*1000000+$BM26*10000+$BK26+0.2</f>
        <v>0.2</v>
      </c>
      <c r="BO26" s="37"/>
      <c r="BP26" s="37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ht="16.5" thickBot="1" x14ac:dyDescent="0.3">
      <c r="A27" s="7"/>
      <c r="B27" s="73">
        <v>1</v>
      </c>
      <c r="C27" s="65"/>
      <c r="D27" s="87">
        <f t="shared" si="8"/>
        <v>0.65972222222222199</v>
      </c>
      <c r="E27" s="65"/>
      <c r="F27" s="65"/>
      <c r="G27" s="65"/>
      <c r="H27" s="65"/>
      <c r="I27" s="65" t="str">
        <f>N16</f>
        <v>1. FC Nürnberg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12" t="s">
        <v>29</v>
      </c>
      <c r="Z27" s="65" t="str">
        <f>N18</f>
        <v>SV Vaihingen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2" t="s">
        <v>28</v>
      </c>
      <c r="AS27" s="65"/>
      <c r="AT27" s="65"/>
      <c r="AU27" s="65"/>
      <c r="AV27" s="65"/>
      <c r="AW27" s="78"/>
      <c r="AX27" s="7"/>
      <c r="BC27">
        <f t="shared" si="5"/>
        <v>0</v>
      </c>
      <c r="BE27" s="36">
        <f t="shared" si="6"/>
        <v>0</v>
      </c>
      <c r="BF27" s="36"/>
      <c r="BG27" s="37">
        <f t="shared" ca="1" si="0"/>
        <v>6</v>
      </c>
      <c r="BH27" s="37">
        <f ca="1">IF(BN27&gt;BN22,1,0)+IF(BN27&gt;BN23,1,0)+IF(BN27&gt;BN24,1,0)+IF(BN27&gt;BN25,1,0)+IF(BN27&gt;BN26,1,0)</f>
        <v>0</v>
      </c>
      <c r="BI27" s="37" t="str">
        <f t="shared" si="7"/>
        <v>SV Vaihingen</v>
      </c>
      <c r="BJ27" s="37">
        <f t="shared" ca="1" si="1"/>
        <v>0</v>
      </c>
      <c r="BK27" s="37">
        <f t="shared" ca="1" si="2"/>
        <v>0</v>
      </c>
      <c r="BL27" s="37">
        <f t="shared" ca="1" si="3"/>
        <v>0</v>
      </c>
      <c r="BM27" s="37">
        <f t="shared" ca="1" si="4"/>
        <v>0</v>
      </c>
      <c r="BN27" s="37">
        <f ca="1">$BJ27*1000000+$BM27*10000+$BK27+0.1</f>
        <v>0.1</v>
      </c>
      <c r="BO27" s="37"/>
      <c r="BP27" s="37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ht="15.75" x14ac:dyDescent="0.25">
      <c r="A28" s="7"/>
      <c r="B28" s="88">
        <v>1</v>
      </c>
      <c r="C28" s="79"/>
      <c r="D28" s="81">
        <f t="shared" si="8"/>
        <v>0.67083333333333306</v>
      </c>
      <c r="E28" s="79"/>
      <c r="F28" s="79"/>
      <c r="G28" s="79"/>
      <c r="H28" s="79"/>
      <c r="I28" s="79" t="str">
        <f>N17</f>
        <v>TSF Ditzingen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4" t="s">
        <v>29</v>
      </c>
      <c r="Z28" s="79" t="str">
        <f>N13</f>
        <v>TSV 1860 München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4" t="s">
        <v>28</v>
      </c>
      <c r="AS28" s="79"/>
      <c r="AT28" s="79"/>
      <c r="AU28" s="79"/>
      <c r="AV28" s="79"/>
      <c r="AW28" s="80"/>
      <c r="AX28" s="7"/>
      <c r="BC28">
        <f t="shared" si="5"/>
        <v>0</v>
      </c>
      <c r="BE28" s="36">
        <f t="shared" si="6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84" ht="15.75" x14ac:dyDescent="0.25">
      <c r="A29" s="7"/>
      <c r="B29" s="72">
        <v>1</v>
      </c>
      <c r="C29" s="61"/>
      <c r="D29" s="82">
        <f t="shared" si="8"/>
        <v>0.68194444444444413</v>
      </c>
      <c r="E29" s="61"/>
      <c r="F29" s="61"/>
      <c r="G29" s="61"/>
      <c r="H29" s="61"/>
      <c r="I29" s="61" t="str">
        <f>N14</f>
        <v>FV Löchgau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0" t="s">
        <v>29</v>
      </c>
      <c r="Z29" s="61" t="str">
        <f>N16</f>
        <v>1. FC Nürnberg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0" t="s">
        <v>28</v>
      </c>
      <c r="AS29" s="61"/>
      <c r="AT29" s="61"/>
      <c r="AU29" s="61"/>
      <c r="AV29" s="61"/>
      <c r="AW29" s="69"/>
      <c r="AX29" s="7"/>
      <c r="BC29">
        <f t="shared" si="5"/>
        <v>0</v>
      </c>
      <c r="BE29" s="36">
        <f t="shared" si="6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  <row r="30" spans="1:84" ht="16.5" thickBot="1" x14ac:dyDescent="0.3">
      <c r="A30" s="7"/>
      <c r="B30" s="73">
        <v>1</v>
      </c>
      <c r="C30" s="65"/>
      <c r="D30" s="87">
        <f t="shared" si="8"/>
        <v>0.6930555555555552</v>
      </c>
      <c r="E30" s="65"/>
      <c r="F30" s="65"/>
      <c r="G30" s="65"/>
      <c r="H30" s="65"/>
      <c r="I30" s="65" t="str">
        <f>N18</f>
        <v>SV Vaihingen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2" t="s">
        <v>29</v>
      </c>
      <c r="Z30" s="65" t="str">
        <f>N15</f>
        <v>TSG 1899 Hoffenheim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12" t="s">
        <v>28</v>
      </c>
      <c r="AS30" s="65"/>
      <c r="AT30" s="65"/>
      <c r="AU30" s="65"/>
      <c r="AV30" s="65"/>
      <c r="AW30" s="78"/>
      <c r="AX30" s="7"/>
      <c r="BC30">
        <f t="shared" si="5"/>
        <v>0</v>
      </c>
      <c r="BE30" s="36">
        <f t="shared" si="6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84" ht="15.75" x14ac:dyDescent="0.25">
      <c r="A31" s="7"/>
      <c r="B31" s="88">
        <v>1</v>
      </c>
      <c r="C31" s="79"/>
      <c r="D31" s="81">
        <f t="shared" si="8"/>
        <v>0.70416666666666627</v>
      </c>
      <c r="E31" s="79"/>
      <c r="F31" s="79"/>
      <c r="G31" s="79"/>
      <c r="H31" s="79"/>
      <c r="I31" s="79" t="str">
        <f>N13</f>
        <v>TSV 1860 München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4" t="s">
        <v>29</v>
      </c>
      <c r="Z31" s="79" t="str">
        <f>N16</f>
        <v>1. FC Nürnberg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4" t="s">
        <v>28</v>
      </c>
      <c r="AS31" s="79"/>
      <c r="AT31" s="79"/>
      <c r="AU31" s="79"/>
      <c r="AV31" s="79"/>
      <c r="AW31" s="80"/>
      <c r="AX31" s="7"/>
      <c r="BC31">
        <f t="shared" si="5"/>
        <v>0</v>
      </c>
      <c r="BE31" s="36">
        <f t="shared" si="6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84" ht="15.75" x14ac:dyDescent="0.25">
      <c r="A32" s="7"/>
      <c r="B32" s="72">
        <v>1</v>
      </c>
      <c r="C32" s="61"/>
      <c r="D32" s="82">
        <f t="shared" si="8"/>
        <v>0.71527777777777735</v>
      </c>
      <c r="E32" s="61"/>
      <c r="F32" s="61"/>
      <c r="G32" s="61"/>
      <c r="H32" s="61"/>
      <c r="I32" s="61" t="str">
        <f>N18</f>
        <v>SV Vaihingen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0" t="s">
        <v>29</v>
      </c>
      <c r="Z32" s="61" t="str">
        <f>N14</f>
        <v>FV Löchgau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10" t="s">
        <v>28</v>
      </c>
      <c r="AS32" s="61"/>
      <c r="AT32" s="61"/>
      <c r="AU32" s="61"/>
      <c r="AV32" s="61"/>
      <c r="AW32" s="69"/>
      <c r="AX32" s="7"/>
      <c r="BC32">
        <f t="shared" si="5"/>
        <v>0</v>
      </c>
      <c r="BE32" s="36">
        <f t="shared" si="6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16.5" thickBot="1" x14ac:dyDescent="0.3">
      <c r="A33" s="7"/>
      <c r="B33" s="73">
        <v>1</v>
      </c>
      <c r="C33" s="65"/>
      <c r="D33" s="87">
        <f t="shared" si="8"/>
        <v>0.72638888888888842</v>
      </c>
      <c r="E33" s="65"/>
      <c r="F33" s="65"/>
      <c r="G33" s="65"/>
      <c r="H33" s="65"/>
      <c r="I33" s="65" t="str">
        <f>N15</f>
        <v>TSG 1899 Hoffenheim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2" t="s">
        <v>29</v>
      </c>
      <c r="Z33" s="65" t="str">
        <f>N17</f>
        <v>TSF Ditzingen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2" t="s">
        <v>28</v>
      </c>
      <c r="AS33" s="65"/>
      <c r="AT33" s="65"/>
      <c r="AU33" s="65"/>
      <c r="AV33" s="65"/>
      <c r="AW33" s="78"/>
      <c r="AX33" s="7"/>
      <c r="BC33">
        <f t="shared" si="5"/>
        <v>0</v>
      </c>
      <c r="BE33" s="36">
        <f t="shared" si="6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15.75" x14ac:dyDescent="0.25">
      <c r="A34" s="7"/>
      <c r="B34" s="88">
        <v>1</v>
      </c>
      <c r="C34" s="79"/>
      <c r="D34" s="81">
        <f t="shared" si="8"/>
        <v>0.73749999999999949</v>
      </c>
      <c r="E34" s="79"/>
      <c r="F34" s="79"/>
      <c r="G34" s="79"/>
      <c r="H34" s="79"/>
      <c r="I34" s="79" t="str">
        <f>N18</f>
        <v>SV Vaihingen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4" t="s">
        <v>29</v>
      </c>
      <c r="Z34" s="79" t="str">
        <f>N13</f>
        <v>TSV 1860 München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4" t="s">
        <v>28</v>
      </c>
      <c r="AS34" s="79"/>
      <c r="AT34" s="79"/>
      <c r="AU34" s="79"/>
      <c r="AV34" s="79"/>
      <c r="AW34" s="80"/>
      <c r="AX34" s="7"/>
      <c r="BC34">
        <f t="shared" si="5"/>
        <v>0</v>
      </c>
      <c r="BE34" s="36">
        <f t="shared" si="6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15.75" x14ac:dyDescent="0.25">
      <c r="A35" s="7"/>
      <c r="B35" s="72">
        <v>1</v>
      </c>
      <c r="C35" s="61"/>
      <c r="D35" s="82">
        <f t="shared" si="8"/>
        <v>0.74861111111111056</v>
      </c>
      <c r="E35" s="61"/>
      <c r="F35" s="61"/>
      <c r="G35" s="61"/>
      <c r="H35" s="61"/>
      <c r="I35" s="61" t="str">
        <f>N14</f>
        <v>FV Löchgau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0" t="s">
        <v>29</v>
      </c>
      <c r="Z35" s="61" t="str">
        <f>N15</f>
        <v>TSG 1899 Hoffenheim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10" t="s">
        <v>28</v>
      </c>
      <c r="AS35" s="61"/>
      <c r="AT35" s="61"/>
      <c r="AU35" s="61"/>
      <c r="AV35" s="61"/>
      <c r="AW35" s="69"/>
      <c r="AX35" s="7"/>
      <c r="BC35">
        <f t="shared" si="5"/>
        <v>0</v>
      </c>
      <c r="BE35" s="36">
        <f t="shared" si="6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16.5" thickBot="1" x14ac:dyDescent="0.3">
      <c r="A36" s="7"/>
      <c r="B36" s="73">
        <v>1</v>
      </c>
      <c r="C36" s="65"/>
      <c r="D36" s="87">
        <f t="shared" si="8"/>
        <v>0.75972222222222163</v>
      </c>
      <c r="E36" s="65"/>
      <c r="F36" s="65"/>
      <c r="G36" s="65"/>
      <c r="H36" s="65"/>
      <c r="I36" s="65" t="str">
        <f>N16</f>
        <v>1. FC Nürnberg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2" t="s">
        <v>29</v>
      </c>
      <c r="Z36" s="65" t="str">
        <f>N17</f>
        <v>TSF Ditzingen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12" t="s">
        <v>28</v>
      </c>
      <c r="AS36" s="65"/>
      <c r="AT36" s="65"/>
      <c r="AU36" s="65"/>
      <c r="AV36" s="65"/>
      <c r="AW36" s="78"/>
      <c r="AX36" s="7"/>
      <c r="BC36">
        <f t="shared" si="5"/>
        <v>0</v>
      </c>
      <c r="BE36" s="36">
        <f t="shared" si="6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BH37" s="36"/>
      <c r="BI37" s="36"/>
      <c r="BJ37" s="36"/>
      <c r="BK37" s="36"/>
      <c r="BL37" s="36"/>
      <c r="BM37" s="36"/>
      <c r="BN37" s="36"/>
    </row>
    <row r="38" spans="1:68" ht="16.5" thickBot="1" x14ac:dyDescent="0.3">
      <c r="A38" s="7"/>
      <c r="B38" s="9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BH38" s="36"/>
      <c r="BI38" s="36"/>
      <c r="BJ38" s="36"/>
      <c r="BK38" s="36"/>
      <c r="BL38" s="36"/>
      <c r="BM38" s="36"/>
      <c r="BN38" s="36"/>
    </row>
    <row r="39" spans="1:68" ht="15.75" x14ac:dyDescent="0.25">
      <c r="A39" s="8"/>
      <c r="B39" s="8"/>
      <c r="C39" s="8"/>
      <c r="D39" s="8"/>
      <c r="E39" s="8"/>
      <c r="F39" s="8"/>
      <c r="G39" s="8"/>
      <c r="H39" s="76" t="s">
        <v>34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4" t="s">
        <v>33</v>
      </c>
      <c r="AH39" s="74"/>
      <c r="AI39" s="74"/>
      <c r="AJ39" s="74" t="s">
        <v>31</v>
      </c>
      <c r="AK39" s="74"/>
      <c r="AL39" s="74"/>
      <c r="AM39" s="74"/>
      <c r="AN39" s="74"/>
      <c r="AO39" s="74" t="s">
        <v>32</v>
      </c>
      <c r="AP39" s="74"/>
      <c r="AQ39" s="75"/>
      <c r="AR39" s="8"/>
      <c r="AS39" s="8"/>
      <c r="AT39" s="8"/>
      <c r="AU39" s="8"/>
      <c r="AV39" s="8"/>
      <c r="AW39" s="8"/>
      <c r="AX39" s="8"/>
      <c r="BH39" s="36"/>
      <c r="BI39" s="36"/>
      <c r="BJ39" s="36"/>
      <c r="BK39" s="36"/>
      <c r="BL39" s="36"/>
      <c r="BM39" s="36"/>
      <c r="BN39" s="36"/>
    </row>
    <row r="40" spans="1:68" ht="15.75" x14ac:dyDescent="0.25">
      <c r="A40" s="7"/>
      <c r="B40" s="7"/>
      <c r="C40" s="7"/>
      <c r="D40" s="7"/>
      <c r="E40" s="7"/>
      <c r="F40" s="7"/>
      <c r="G40" s="7"/>
      <c r="H40" s="72" t="s">
        <v>4</v>
      </c>
      <c r="I40" s="61"/>
      <c r="J40" s="62" t="str">
        <f ca="1">VLOOKUP(5,BH22:BN27,2,FALSE)</f>
        <v>TSV 1860 München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70"/>
      <c r="AG40" s="61">
        <f ca="1">VLOOKUP(5,BH22:BN27,3,FALSE)</f>
        <v>0</v>
      </c>
      <c r="AH40" s="61"/>
      <c r="AI40" s="61"/>
      <c r="AJ40" s="61">
        <f ca="1">VLOOKUP(5,BH22:BP27,4,FALSE)</f>
        <v>0</v>
      </c>
      <c r="AK40" s="61"/>
      <c r="AL40" s="10" t="s">
        <v>28</v>
      </c>
      <c r="AM40" s="61">
        <f ca="1">VLOOKUP(5,BH22:BP27,5,FALSE)</f>
        <v>0</v>
      </c>
      <c r="AN40" s="61"/>
      <c r="AO40" s="61">
        <f ca="1">AJ40-AM40</f>
        <v>0</v>
      </c>
      <c r="AP40" s="61"/>
      <c r="AQ40" s="69"/>
      <c r="AR40" s="7"/>
      <c r="AS40" s="7"/>
      <c r="AT40" s="7"/>
      <c r="AU40" s="7"/>
      <c r="AV40" s="7"/>
      <c r="AW40" s="7"/>
      <c r="AX40" s="7"/>
      <c r="BH40" s="36"/>
      <c r="BI40" s="36" t="str">
        <f ca="1">VLOOKUP(5,BH22:BN27,2,FALSE)</f>
        <v>TSV 1860 München</v>
      </c>
      <c r="BJ40" s="36"/>
      <c r="BK40" s="36"/>
      <c r="BL40" s="36"/>
      <c r="BM40" s="36"/>
      <c r="BN40" s="36"/>
    </row>
    <row r="41" spans="1:68" ht="15.75" x14ac:dyDescent="0.25">
      <c r="A41" s="7"/>
      <c r="B41" s="7"/>
      <c r="C41" s="7"/>
      <c r="D41" s="7"/>
      <c r="E41" s="7"/>
      <c r="F41" s="7"/>
      <c r="G41" s="7"/>
      <c r="H41" s="72" t="s">
        <v>5</v>
      </c>
      <c r="I41" s="61"/>
      <c r="J41" s="62" t="str">
        <f ca="1">VLOOKUP(4,BH22:BP27,2,FALSE)</f>
        <v>FV Löchgau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70"/>
      <c r="AG41" s="61">
        <f ca="1">VLOOKUP(4,BH22:BP27,3,FALSE)</f>
        <v>0</v>
      </c>
      <c r="AH41" s="61"/>
      <c r="AI41" s="61"/>
      <c r="AJ41" s="61">
        <f ca="1">VLOOKUP(4,BH22:BP27,4,FALSE)</f>
        <v>0</v>
      </c>
      <c r="AK41" s="61"/>
      <c r="AL41" s="10" t="s">
        <v>28</v>
      </c>
      <c r="AM41" s="61">
        <f ca="1">VLOOKUP(4,BH22:BP27,5,FALSE)</f>
        <v>0</v>
      </c>
      <c r="AN41" s="61"/>
      <c r="AO41" s="62">
        <f t="shared" ref="AO41:AO45" ca="1" si="9">AJ41-AM41</f>
        <v>0</v>
      </c>
      <c r="AP41" s="63"/>
      <c r="AQ41" s="64"/>
      <c r="AR41" s="7"/>
      <c r="AS41" s="7"/>
      <c r="AT41" s="7"/>
      <c r="AU41" s="7"/>
      <c r="AV41" s="7"/>
      <c r="AW41" s="7"/>
      <c r="AX41" s="7"/>
      <c r="BH41" s="36"/>
      <c r="BI41" s="36" t="str">
        <f ca="1">VLOOKUP(4,BH22:BP27,2,FALSE)</f>
        <v>FV Löchgau</v>
      </c>
      <c r="BJ41" s="36"/>
      <c r="BK41" s="36"/>
      <c r="BL41" s="36"/>
      <c r="BM41" s="36"/>
      <c r="BN41" s="36"/>
    </row>
    <row r="42" spans="1:68" ht="15.75" x14ac:dyDescent="0.25">
      <c r="A42" s="7"/>
      <c r="B42" s="7"/>
      <c r="C42" s="7"/>
      <c r="D42" s="7"/>
      <c r="E42" s="7"/>
      <c r="F42" s="7"/>
      <c r="G42" s="7"/>
      <c r="H42" s="72" t="s">
        <v>6</v>
      </c>
      <c r="I42" s="61"/>
      <c r="J42" s="62" t="str">
        <f ca="1">VLOOKUP(3,BH22:BP27,2,FALSE)</f>
        <v>TSG 1899 Hoffenheim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0"/>
      <c r="AG42" s="61">
        <f ca="1">VLOOKUP(3,BH22:BP27,3,FALSE)</f>
        <v>0</v>
      </c>
      <c r="AH42" s="61"/>
      <c r="AI42" s="61"/>
      <c r="AJ42" s="61">
        <f ca="1">VLOOKUP(3,BH22:BP27,4,FALSE)</f>
        <v>0</v>
      </c>
      <c r="AK42" s="61"/>
      <c r="AL42" s="10" t="s">
        <v>28</v>
      </c>
      <c r="AM42" s="61">
        <f ca="1">VLOOKUP(3,BH22:BP27,5,FALSE)</f>
        <v>0</v>
      </c>
      <c r="AN42" s="61"/>
      <c r="AO42" s="62">
        <f t="shared" ca="1" si="9"/>
        <v>0</v>
      </c>
      <c r="AP42" s="63"/>
      <c r="AQ42" s="64"/>
      <c r="AR42" s="7"/>
      <c r="AS42" s="7"/>
      <c r="AT42" s="7"/>
      <c r="AU42" s="7"/>
      <c r="AV42" s="7"/>
      <c r="AW42" s="7"/>
      <c r="AX42" s="7"/>
      <c r="BH42" s="36"/>
      <c r="BI42" s="36" t="str">
        <f ca="1">VLOOKUP(3,BH22:BP27,2,FALSE)</f>
        <v>TSG 1899 Hoffenheim</v>
      </c>
      <c r="BJ42" s="36"/>
      <c r="BK42" s="36"/>
      <c r="BL42" s="36"/>
      <c r="BM42" s="36"/>
      <c r="BN42" s="36"/>
    </row>
    <row r="43" spans="1:68" ht="15.75" x14ac:dyDescent="0.25">
      <c r="A43" s="7"/>
      <c r="B43" s="7"/>
      <c r="C43" s="7"/>
      <c r="D43" s="7"/>
      <c r="E43" s="7"/>
      <c r="F43" s="7"/>
      <c r="G43" s="7"/>
      <c r="H43" s="72" t="s">
        <v>7</v>
      </c>
      <c r="I43" s="61"/>
      <c r="J43" s="62" t="str">
        <f ca="1">VLOOKUP(2,BH22:BP27,2,FALSE)</f>
        <v>1. FC Nürnberg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70"/>
      <c r="AG43" s="61">
        <f ca="1">VLOOKUP(2,BH22:BP27,3,FALSE)</f>
        <v>0</v>
      </c>
      <c r="AH43" s="61"/>
      <c r="AI43" s="61"/>
      <c r="AJ43" s="61">
        <f ca="1">VLOOKUP(2,BH22:BP27,4,FALSE)</f>
        <v>0</v>
      </c>
      <c r="AK43" s="61"/>
      <c r="AL43" s="10" t="s">
        <v>28</v>
      </c>
      <c r="AM43" s="61">
        <f ca="1">VLOOKUP(2,BH22:BP27,5,FALSE)</f>
        <v>0</v>
      </c>
      <c r="AN43" s="61"/>
      <c r="AO43" s="62">
        <f t="shared" ca="1" si="9"/>
        <v>0</v>
      </c>
      <c r="AP43" s="63"/>
      <c r="AQ43" s="64"/>
      <c r="AR43" s="7"/>
      <c r="AS43" s="7"/>
      <c r="AT43" s="7"/>
      <c r="AU43" s="7"/>
      <c r="AV43" s="7"/>
      <c r="AW43" s="7"/>
      <c r="AX43" s="7"/>
      <c r="BH43" s="36"/>
      <c r="BI43" s="36" t="str">
        <f ca="1">VLOOKUP(2,BH22:BP27,2,FALSE)</f>
        <v>1. FC Nürnberg</v>
      </c>
      <c r="BJ43" s="36"/>
      <c r="BK43" s="36"/>
      <c r="BL43" s="36"/>
      <c r="BM43" s="36"/>
      <c r="BN43" s="36"/>
    </row>
    <row r="44" spans="1:68" ht="15.75" x14ac:dyDescent="0.25">
      <c r="A44" s="7"/>
      <c r="B44" s="7"/>
      <c r="C44" s="7"/>
      <c r="D44" s="7"/>
      <c r="E44" s="7"/>
      <c r="F44" s="7"/>
      <c r="G44" s="7"/>
      <c r="H44" s="72" t="s">
        <v>8</v>
      </c>
      <c r="I44" s="61"/>
      <c r="J44" s="62" t="str">
        <f ca="1">VLOOKUP(1,BH22:BP27,2,FALSE)</f>
        <v>TSF Ditzingen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70"/>
      <c r="AG44" s="61">
        <f ca="1">VLOOKUP(1,BH22:BP27,3,FALSE)</f>
        <v>0</v>
      </c>
      <c r="AH44" s="61"/>
      <c r="AI44" s="61"/>
      <c r="AJ44" s="61">
        <f ca="1">VLOOKUP(1,BH22:BP27,4,FALSE)</f>
        <v>0</v>
      </c>
      <c r="AK44" s="61"/>
      <c r="AL44" s="10" t="s">
        <v>28</v>
      </c>
      <c r="AM44" s="61">
        <f ca="1">VLOOKUP(1,BH22:BP27,5,FALSE)</f>
        <v>0</v>
      </c>
      <c r="AN44" s="61"/>
      <c r="AO44" s="62">
        <f t="shared" ca="1" si="9"/>
        <v>0</v>
      </c>
      <c r="AP44" s="63"/>
      <c r="AQ44" s="64"/>
      <c r="AR44" s="7"/>
      <c r="AS44" s="7"/>
      <c r="AT44" s="7"/>
      <c r="AU44" s="7"/>
      <c r="AV44" s="7"/>
      <c r="AW44" s="7"/>
      <c r="AX44" s="7"/>
      <c r="BH44" s="36"/>
      <c r="BI44" s="36" t="str">
        <f ca="1">VLOOKUP(1,BH22:BP27,2,FALSE)</f>
        <v>TSF Ditzingen</v>
      </c>
      <c r="BJ44" s="36"/>
      <c r="BK44" s="36"/>
      <c r="BL44" s="36"/>
      <c r="BM44" s="36"/>
      <c r="BN44" s="36"/>
    </row>
    <row r="45" spans="1:68" ht="16.5" thickBot="1" x14ac:dyDescent="0.3">
      <c r="A45" s="7"/>
      <c r="B45" s="7"/>
      <c r="C45" s="7"/>
      <c r="D45" s="7"/>
      <c r="E45" s="7"/>
      <c r="F45" s="7"/>
      <c r="G45" s="7"/>
      <c r="H45" s="73" t="s">
        <v>9</v>
      </c>
      <c r="I45" s="65"/>
      <c r="J45" s="66" t="str">
        <f ca="1">VLOOKUP(0,BH22:BP27,2,FALSE)</f>
        <v>SV Vaihingen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1"/>
      <c r="AG45" s="65">
        <f ca="1">VLOOKUP(0,BH22:BP27,3,FALSE)</f>
        <v>0</v>
      </c>
      <c r="AH45" s="65"/>
      <c r="AI45" s="65"/>
      <c r="AJ45" s="65">
        <f ca="1">VLOOKUP(0,BH22:BP27,4,FALSE)</f>
        <v>0</v>
      </c>
      <c r="AK45" s="65"/>
      <c r="AL45" s="12" t="s">
        <v>28</v>
      </c>
      <c r="AM45" s="65">
        <f ca="1">VLOOKUP(0,BH22:BP27,5,FALSE)</f>
        <v>0</v>
      </c>
      <c r="AN45" s="65"/>
      <c r="AO45" s="66">
        <f t="shared" ca="1" si="9"/>
        <v>0</v>
      </c>
      <c r="AP45" s="67"/>
      <c r="AQ45" s="68"/>
      <c r="AR45" s="7"/>
      <c r="AS45" s="7"/>
      <c r="AT45" s="7"/>
      <c r="AU45" s="7"/>
      <c r="AV45" s="7"/>
      <c r="AW45" s="7"/>
      <c r="AX45" s="7"/>
      <c r="BH45" s="36"/>
      <c r="BI45" s="36" t="str">
        <f ca="1">VLOOKUP(0,BH22:BP27,2,FALSE)</f>
        <v>SV Vaihingen</v>
      </c>
      <c r="BJ45" s="36"/>
      <c r="BK45" s="36"/>
      <c r="BL45" s="36"/>
      <c r="BM45" s="36"/>
      <c r="BN45" s="36"/>
    </row>
    <row r="46" spans="1:68" x14ac:dyDescent="0.25">
      <c r="BH46" s="36"/>
      <c r="BI46" s="36">
        <f>IF(ISBLANK(AS36),0,1)</f>
        <v>0</v>
      </c>
      <c r="BJ46" s="36"/>
      <c r="BK46" s="36"/>
      <c r="BL46" s="36"/>
      <c r="BM46" s="36"/>
      <c r="BN46" s="36"/>
    </row>
    <row r="47" spans="1:68" x14ac:dyDescent="0.25">
      <c r="BH47" s="36"/>
      <c r="BI47" s="36"/>
      <c r="BJ47" s="36"/>
      <c r="BK47" s="36"/>
      <c r="BL47" s="36"/>
      <c r="BM47" s="36"/>
      <c r="BN47" s="36"/>
    </row>
  </sheetData>
  <mergeCells count="174">
    <mergeCell ref="H45:I45"/>
    <mergeCell ref="J45:AF45"/>
    <mergeCell ref="AG45:AI45"/>
    <mergeCell ref="AJ45:AK45"/>
    <mergeCell ref="AM45:AN45"/>
    <mergeCell ref="AO45:AQ45"/>
    <mergeCell ref="H44:I44"/>
    <mergeCell ref="J44:AF44"/>
    <mergeCell ref="AG44:AI44"/>
    <mergeCell ref="AJ44:AK44"/>
    <mergeCell ref="AM44:AN44"/>
    <mergeCell ref="AO44:AQ44"/>
    <mergeCell ref="H43:I43"/>
    <mergeCell ref="J43:AF43"/>
    <mergeCell ref="AG43:AI43"/>
    <mergeCell ref="AJ43:AK43"/>
    <mergeCell ref="AM43:AN43"/>
    <mergeCell ref="AO43:AQ43"/>
    <mergeCell ref="H42:I42"/>
    <mergeCell ref="J42:AF42"/>
    <mergeCell ref="AG42:AI42"/>
    <mergeCell ref="AJ42:AK42"/>
    <mergeCell ref="AM42:AN42"/>
    <mergeCell ref="AO42:AQ42"/>
    <mergeCell ref="H41:I41"/>
    <mergeCell ref="J41:AF41"/>
    <mergeCell ref="AG41:AI41"/>
    <mergeCell ref="AJ41:AK41"/>
    <mergeCell ref="AM41:AN41"/>
    <mergeCell ref="AO41:AQ41"/>
    <mergeCell ref="H39:AF39"/>
    <mergeCell ref="AG39:AI39"/>
    <mergeCell ref="AJ39:AN39"/>
    <mergeCell ref="AO39:AQ39"/>
    <mergeCell ref="H40:I40"/>
    <mergeCell ref="J40:AF40"/>
    <mergeCell ref="AG40:AI40"/>
    <mergeCell ref="AJ40:AK40"/>
    <mergeCell ref="AM40:AN40"/>
    <mergeCell ref="AO40:AQ40"/>
    <mergeCell ref="AU35:AW35"/>
    <mergeCell ref="B36:C36"/>
    <mergeCell ref="D36:H36"/>
    <mergeCell ref="I36:X36"/>
    <mergeCell ref="Z36:AO36"/>
    <mergeCell ref="AP36:AQ36"/>
    <mergeCell ref="AS36:AT36"/>
    <mergeCell ref="AU36:AW36"/>
    <mergeCell ref="B35:C35"/>
    <mergeCell ref="D35:H35"/>
    <mergeCell ref="I35:X35"/>
    <mergeCell ref="Z35:AO35"/>
    <mergeCell ref="AP35:AQ35"/>
    <mergeCell ref="AS35:AT35"/>
    <mergeCell ref="AU33:AW33"/>
    <mergeCell ref="B34:C34"/>
    <mergeCell ref="D34:H34"/>
    <mergeCell ref="I34:X34"/>
    <mergeCell ref="Z34:AO34"/>
    <mergeCell ref="AP34:AQ34"/>
    <mergeCell ref="AS34:AT34"/>
    <mergeCell ref="AU34:AW34"/>
    <mergeCell ref="B33:C33"/>
    <mergeCell ref="D33:H33"/>
    <mergeCell ref="I33:X33"/>
    <mergeCell ref="Z33:AO33"/>
    <mergeCell ref="AP33:AQ33"/>
    <mergeCell ref="AS33:AT33"/>
    <mergeCell ref="AU31:AW31"/>
    <mergeCell ref="B32:C32"/>
    <mergeCell ref="D32:H32"/>
    <mergeCell ref="I32:X32"/>
    <mergeCell ref="Z32:AO32"/>
    <mergeCell ref="AP32:AQ32"/>
    <mergeCell ref="AS32:AT32"/>
    <mergeCell ref="AU32:AW32"/>
    <mergeCell ref="B31:C31"/>
    <mergeCell ref="D31:H31"/>
    <mergeCell ref="I31:X31"/>
    <mergeCell ref="Z31:AO31"/>
    <mergeCell ref="AP31:AQ31"/>
    <mergeCell ref="AS31:AT31"/>
    <mergeCell ref="AU29:AW29"/>
    <mergeCell ref="B30:C30"/>
    <mergeCell ref="D30:H30"/>
    <mergeCell ref="I30:X30"/>
    <mergeCell ref="Z30:AO30"/>
    <mergeCell ref="AP30:AQ30"/>
    <mergeCell ref="AS30:AT30"/>
    <mergeCell ref="AU30:AW30"/>
    <mergeCell ref="B29:C29"/>
    <mergeCell ref="D29:H29"/>
    <mergeCell ref="I29:X29"/>
    <mergeCell ref="Z29:AO29"/>
    <mergeCell ref="AP29:AQ29"/>
    <mergeCell ref="AS29:AT29"/>
    <mergeCell ref="B28:C28"/>
    <mergeCell ref="D28:H28"/>
    <mergeCell ref="I28:X28"/>
    <mergeCell ref="Z28:AO28"/>
    <mergeCell ref="AP28:AQ28"/>
    <mergeCell ref="AS28:AT28"/>
    <mergeCell ref="AU28:AW28"/>
    <mergeCell ref="B27:C27"/>
    <mergeCell ref="D27:H27"/>
    <mergeCell ref="I27:X27"/>
    <mergeCell ref="Z27:AO27"/>
    <mergeCell ref="AP27:AQ27"/>
    <mergeCell ref="AS27:AT27"/>
    <mergeCell ref="AU27:AW27"/>
    <mergeCell ref="B26:C26"/>
    <mergeCell ref="D26:H26"/>
    <mergeCell ref="I26:X26"/>
    <mergeCell ref="Z26:AO26"/>
    <mergeCell ref="AP26:AQ26"/>
    <mergeCell ref="AS26:AT26"/>
    <mergeCell ref="AU26:AW26"/>
    <mergeCell ref="AU25:AW25"/>
    <mergeCell ref="B25:C25"/>
    <mergeCell ref="D25:H25"/>
    <mergeCell ref="I25:X25"/>
    <mergeCell ref="Z25:AO25"/>
    <mergeCell ref="AP25:AQ25"/>
    <mergeCell ref="AS25:AT25"/>
    <mergeCell ref="B23:C23"/>
    <mergeCell ref="D23:H23"/>
    <mergeCell ref="I23:X23"/>
    <mergeCell ref="Z23:AO23"/>
    <mergeCell ref="AP23:AQ23"/>
    <mergeCell ref="AS23:AT23"/>
    <mergeCell ref="AU23:AW23"/>
    <mergeCell ref="B24:C24"/>
    <mergeCell ref="D24:H24"/>
    <mergeCell ref="I24:X24"/>
    <mergeCell ref="Z24:AO24"/>
    <mergeCell ref="AP24:AQ24"/>
    <mergeCell ref="AS24:AT24"/>
    <mergeCell ref="AU24:AW24"/>
    <mergeCell ref="AU21:AW21"/>
    <mergeCell ref="B22:C22"/>
    <mergeCell ref="D22:H22"/>
    <mergeCell ref="I22:X22"/>
    <mergeCell ref="Z22:AO22"/>
    <mergeCell ref="AP22:AQ22"/>
    <mergeCell ref="AS22:AT22"/>
    <mergeCell ref="AU22:AW22"/>
    <mergeCell ref="K18:M18"/>
    <mergeCell ref="N18:AN18"/>
    <mergeCell ref="B21:C21"/>
    <mergeCell ref="D21:H21"/>
    <mergeCell ref="I21:AO21"/>
    <mergeCell ref="AP21:AT21"/>
    <mergeCell ref="K15:M15"/>
    <mergeCell ref="N15:AN15"/>
    <mergeCell ref="K16:M16"/>
    <mergeCell ref="N16:AN16"/>
    <mergeCell ref="K17:M17"/>
    <mergeCell ref="N17:AN17"/>
    <mergeCell ref="AU9:AW9"/>
    <mergeCell ref="K12:AN12"/>
    <mergeCell ref="K13:M13"/>
    <mergeCell ref="N13:AN13"/>
    <mergeCell ref="K14:M14"/>
    <mergeCell ref="N14:AN14"/>
    <mergeCell ref="M6:AL6"/>
    <mergeCell ref="A7:AX7"/>
    <mergeCell ref="B9:F9"/>
    <mergeCell ref="G9:K9"/>
    <mergeCell ref="L9:N9"/>
    <mergeCell ref="S9:X9"/>
    <mergeCell ref="Y9:AC9"/>
    <mergeCell ref="AD9:AF9"/>
    <mergeCell ref="AK9:AO9"/>
    <mergeCell ref="AP9:AT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F47"/>
  <sheetViews>
    <sheetView showGridLines="0" zoomScale="115" zoomScaleNormal="115" workbookViewId="0">
      <selection activeCell="BH21" sqref="BH21"/>
    </sheetView>
  </sheetViews>
  <sheetFormatPr baseColWidth="10" defaultColWidth="1.7109375" defaultRowHeight="15" x14ac:dyDescent="0.25"/>
  <cols>
    <col min="57" max="57" width="2.28515625" bestFit="1" customWidth="1"/>
    <col min="59" max="60" width="2.28515625" bestFit="1" customWidth="1"/>
    <col min="61" max="61" width="13.85546875" bestFit="1" customWidth="1"/>
    <col min="62" max="65" width="2.28515625" bestFit="1" customWidth="1"/>
    <col min="66" max="66" width="4.140625" bestFit="1" customWidth="1"/>
    <col min="67" max="67" width="1.5703125" customWidth="1"/>
  </cols>
  <sheetData>
    <row r="2" spans="1:50" ht="37.5" x14ac:dyDescent="0.7">
      <c r="L2" s="3" t="s">
        <v>0</v>
      </c>
    </row>
    <row r="3" spans="1:50" ht="29.25" x14ac:dyDescent="0.55000000000000004">
      <c r="M3" s="2"/>
      <c r="Q3" s="1" t="str">
        <f>Deckblatt!Q3</f>
        <v>10. attimo-Cup</v>
      </c>
    </row>
    <row r="6" spans="1:50" ht="15.75" x14ac:dyDescent="0.25">
      <c r="M6" s="94" t="s">
        <v>166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50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9" spans="1:50" ht="15.75" x14ac:dyDescent="0.25">
      <c r="A9" s="7"/>
      <c r="B9" s="90" t="s">
        <v>17</v>
      </c>
      <c r="C9" s="90"/>
      <c r="D9" s="90"/>
      <c r="E9" s="90"/>
      <c r="F9" s="90"/>
      <c r="G9" s="93">
        <v>0.60416666666666663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1.0416666666666666E-2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6.9444444444444447E-4</v>
      </c>
      <c r="AQ9" s="91"/>
      <c r="AR9" s="91"/>
      <c r="AS9" s="91"/>
      <c r="AT9" s="91"/>
      <c r="AU9" s="90" t="s">
        <v>20</v>
      </c>
      <c r="AV9" s="90"/>
      <c r="AW9" s="90"/>
    </row>
    <row r="10" spans="1:50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6.5" thickBot="1" x14ac:dyDescent="0.3">
      <c r="A11" s="7"/>
      <c r="B11" s="9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6.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95" t="s">
        <v>11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7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49" t="s">
        <v>4</v>
      </c>
      <c r="L13" s="98"/>
      <c r="M13" s="98"/>
      <c r="N13" s="51" t="str">
        <f>Deckblatt!$AE26</f>
        <v>Eintracht Frankfurt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44" t="s">
        <v>5</v>
      </c>
      <c r="L14" s="90"/>
      <c r="M14" s="90"/>
      <c r="N14" s="42" t="str">
        <f>Deckblatt!$AE27</f>
        <v>SV Stuttgarter Kickers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3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44" t="s">
        <v>6</v>
      </c>
      <c r="L15" s="90"/>
      <c r="M15" s="90"/>
      <c r="N15" s="42" t="str">
        <f>Deckblatt!$AE28</f>
        <v>VfR Heilbronn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4" t="s">
        <v>7</v>
      </c>
      <c r="L16" s="90"/>
      <c r="M16" s="90"/>
      <c r="N16" s="42" t="str">
        <f>Deckblatt!$AE29</f>
        <v>1. FC Heidenheim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84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44" t="s">
        <v>8</v>
      </c>
      <c r="L17" s="90"/>
      <c r="M17" s="90"/>
      <c r="N17" s="42" t="str">
        <f>Deckblatt!$AE30</f>
        <v>FC Augsburg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3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84" ht="16.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53" t="s">
        <v>9</v>
      </c>
      <c r="L18" s="92"/>
      <c r="M18" s="92"/>
      <c r="N18" s="59" t="str">
        <f>Deckblatt!$AE31</f>
        <v>TB Untertürkheim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84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84" ht="16.5" thickBot="1" x14ac:dyDescent="0.3">
      <c r="A20" s="7"/>
      <c r="B20" s="9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84" ht="16.5" thickBot="1" x14ac:dyDescent="0.3">
      <c r="A21" s="7"/>
      <c r="B21" s="89" t="s">
        <v>24</v>
      </c>
      <c r="C21" s="86"/>
      <c r="D21" s="86" t="s">
        <v>25</v>
      </c>
      <c r="E21" s="86"/>
      <c r="F21" s="86"/>
      <c r="G21" s="86"/>
      <c r="H21" s="86"/>
      <c r="I21" s="86" t="s">
        <v>26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 t="s">
        <v>27</v>
      </c>
      <c r="AQ21" s="86"/>
      <c r="AR21" s="86"/>
      <c r="AS21" s="86"/>
      <c r="AT21" s="86"/>
      <c r="AU21" s="83"/>
      <c r="AV21" s="84"/>
      <c r="AW21" s="85"/>
      <c r="AX21" s="7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4" ht="16.5" thickBot="1" x14ac:dyDescent="0.3">
      <c r="A22" s="7"/>
      <c r="B22" s="38">
        <v>2</v>
      </c>
      <c r="C22" s="39"/>
      <c r="D22" s="81">
        <f>G9</f>
        <v>0.60416666666666663</v>
      </c>
      <c r="E22" s="79"/>
      <c r="F22" s="79"/>
      <c r="G22" s="79"/>
      <c r="H22" s="79"/>
      <c r="I22" s="79" t="str">
        <f>N13</f>
        <v>Eintracht Frankfurt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5" t="s">
        <v>29</v>
      </c>
      <c r="Z22" s="79" t="str">
        <f>N14</f>
        <v>SV Stuttgarter Kickers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4" t="s">
        <v>28</v>
      </c>
      <c r="AS22" s="79"/>
      <c r="AT22" s="79"/>
      <c r="AU22" s="79"/>
      <c r="AV22" s="79"/>
      <c r="AW22" s="80"/>
      <c r="AX22" s="7"/>
      <c r="BC22">
        <f>IF(ISBLANK($AP22),0,IF($AP22&gt;$AS22,3,IF($AP22=$AS22,1,0)))</f>
        <v>0</v>
      </c>
      <c r="BE22" s="36">
        <f>IF(ISBLANK($AS22),0,IF($AP22&lt;$AS22,3,IF($AP22=$AS22,1,0)))</f>
        <v>0</v>
      </c>
      <c r="BF22" s="36"/>
      <c r="BG22" s="37">
        <f t="shared" ref="BG22:BG27" ca="1" si="0">6-$BH22</f>
        <v>1</v>
      </c>
      <c r="BH22" s="37">
        <f ca="1">IF(BN22&gt;BN23,1,0)+IF(BN22&gt;BN24,1,0)+IF(BN22&gt;BN25,1,0)+IF(BN22&gt;BN26,1,0)+IF(BN22&gt;BN27,1,0)</f>
        <v>5</v>
      </c>
      <c r="BI22" s="37" t="str">
        <f>N13</f>
        <v>Eintracht Frankfurt</v>
      </c>
      <c r="BJ22" s="37">
        <f t="shared" ref="BJ22:BJ27" ca="1" si="1">SUMIF($I$22:$X$36,$BI22,$BC$22:$BC$36)+SUMIF($Z$22:$AO$36,$BI22,$BE$22:$BE$36)</f>
        <v>0</v>
      </c>
      <c r="BK22" s="37">
        <f t="shared" ref="BK22:BK27" ca="1" si="2">SUMIF($I$22:$X$36,$BI22,$AP$22:$AQ$36)+SUMIF($Z$22:$AO$36,$BI22,$AS$22:$AT$36)</f>
        <v>0</v>
      </c>
      <c r="BL22" s="37">
        <f t="shared" ref="BL22:BL27" ca="1" si="3">SUMIF($I$22:$X$36,$BI22,$AS$22:$AT$36)+SUMIF($Z$22:$AO$36,$BI22,$AP$22:$AQ$36)</f>
        <v>0</v>
      </c>
      <c r="BM22" s="37">
        <f t="shared" ref="BM22:BM27" ca="1" si="4">$BK22-$BL22</f>
        <v>0</v>
      </c>
      <c r="BN22" s="37">
        <f ca="1">$BJ22*1000000+$BM22*10000+$BK22+0.6</f>
        <v>0.6</v>
      </c>
      <c r="BO22" s="37"/>
      <c r="BP22" s="37"/>
      <c r="BQ22" s="37"/>
      <c r="BR22" s="37"/>
      <c r="BS22" s="37"/>
      <c r="BT22" s="37"/>
      <c r="BU22" s="37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ht="16.5" thickBot="1" x14ac:dyDescent="0.3">
      <c r="A23" s="7"/>
      <c r="B23" s="38">
        <v>2</v>
      </c>
      <c r="C23" s="39"/>
      <c r="D23" s="82">
        <f>D22+$Y$9+$AP$9</f>
        <v>0.6152777777777777</v>
      </c>
      <c r="E23" s="61"/>
      <c r="F23" s="61"/>
      <c r="G23" s="61"/>
      <c r="H23" s="61"/>
      <c r="I23" s="61" t="str">
        <f>N15</f>
        <v>VfR Heilbronn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0" t="s">
        <v>29</v>
      </c>
      <c r="Z23" s="61" t="str">
        <f>N16</f>
        <v>1. FC Heidenheim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10" t="s">
        <v>28</v>
      </c>
      <c r="AS23" s="61"/>
      <c r="AT23" s="61"/>
      <c r="AU23" s="61"/>
      <c r="AV23" s="61"/>
      <c r="AW23" s="69"/>
      <c r="AX23" s="7"/>
      <c r="BC23">
        <f t="shared" ref="BC23:BC36" si="5">IF(ISBLANK($AP23),0,IF($AP23&gt;$AS23,3,IF($AP23=$AS23,1,0)))</f>
        <v>0</v>
      </c>
      <c r="BE23" s="36">
        <f t="shared" ref="BE23:BE36" si="6">IF(ISBLANK($AS23),0,IF($AP23&lt;$AS23,3,IF($AP23=$AS23,1,0)))</f>
        <v>0</v>
      </c>
      <c r="BF23" s="36"/>
      <c r="BG23" s="37">
        <f t="shared" ca="1" si="0"/>
        <v>2</v>
      </c>
      <c r="BH23" s="37">
        <f ca="1">IF(BN23&gt;BN24,1,0)+IF(BN23&gt;BN25,1,0)+IF(BN23&gt;BN26,1,0)+IF(BN23&gt;BN27,1,0)+IF(BN23&gt;BN22,1,0)</f>
        <v>4</v>
      </c>
      <c r="BI23" s="37" t="str">
        <f t="shared" ref="BI23:BI27" si="7">N14</f>
        <v>SV Stuttgarter Kickers</v>
      </c>
      <c r="BJ23" s="37">
        <f t="shared" ca="1" si="1"/>
        <v>0</v>
      </c>
      <c r="BK23" s="37">
        <f t="shared" ca="1" si="2"/>
        <v>0</v>
      </c>
      <c r="BL23" s="37">
        <f t="shared" ca="1" si="3"/>
        <v>0</v>
      </c>
      <c r="BM23" s="37">
        <f t="shared" ca="1" si="4"/>
        <v>0</v>
      </c>
      <c r="BN23" s="37">
        <f ca="1">$BJ23*1000000+$BM23*10000+$BK23+0.5</f>
        <v>0.5</v>
      </c>
      <c r="BO23" s="37"/>
      <c r="BP23" s="37"/>
      <c r="BQ23" s="37"/>
      <c r="BR23" s="37"/>
      <c r="BS23" s="37"/>
      <c r="BT23" s="37"/>
      <c r="BU23" s="37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ht="16.5" thickBot="1" x14ac:dyDescent="0.3">
      <c r="A24" s="7"/>
      <c r="B24" s="38">
        <v>2</v>
      </c>
      <c r="C24" s="39"/>
      <c r="D24" s="87">
        <f>D23+$Y$9+$AP$9</f>
        <v>0.62638888888888877</v>
      </c>
      <c r="E24" s="65"/>
      <c r="F24" s="65"/>
      <c r="G24" s="65"/>
      <c r="H24" s="65"/>
      <c r="I24" s="65" t="str">
        <f>N17</f>
        <v>FC Augsburg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2" t="s">
        <v>29</v>
      </c>
      <c r="Z24" s="65" t="str">
        <f>N18</f>
        <v>TB Untertürkheim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12" t="s">
        <v>28</v>
      </c>
      <c r="AS24" s="65"/>
      <c r="AT24" s="65"/>
      <c r="AU24" s="65"/>
      <c r="AV24" s="65"/>
      <c r="AW24" s="78"/>
      <c r="AX24" s="7"/>
      <c r="BC24">
        <f t="shared" si="5"/>
        <v>0</v>
      </c>
      <c r="BE24" s="36">
        <f t="shared" si="6"/>
        <v>0</v>
      </c>
      <c r="BF24" s="36"/>
      <c r="BG24" s="37">
        <f t="shared" ca="1" si="0"/>
        <v>3</v>
      </c>
      <c r="BH24" s="37">
        <f ca="1">IF(BN24&gt;BN25,1,0)+IF(BN24&gt;BN26,1,0)+IF(BN24&gt;BN27,1,0)+IF(BN24&gt;BN22,1,0)+IF(BN24&gt;BN23,1,0)</f>
        <v>3</v>
      </c>
      <c r="BI24" s="37" t="str">
        <f t="shared" si="7"/>
        <v>VfR Heilbronn</v>
      </c>
      <c r="BJ24" s="37">
        <f t="shared" ca="1" si="1"/>
        <v>0</v>
      </c>
      <c r="BK24" s="37">
        <f t="shared" ca="1" si="2"/>
        <v>0</v>
      </c>
      <c r="BL24" s="37">
        <f t="shared" ca="1" si="3"/>
        <v>0</v>
      </c>
      <c r="BM24" s="37">
        <f t="shared" ca="1" si="4"/>
        <v>0</v>
      </c>
      <c r="BN24" s="37">
        <f ca="1">$BJ24*1000000+$BM24*10000+$BK24+0.4</f>
        <v>0.4</v>
      </c>
      <c r="BO24" s="37"/>
      <c r="BP24" s="37"/>
      <c r="BQ24" s="37"/>
      <c r="BR24" s="37"/>
      <c r="BS24" s="37"/>
      <c r="BT24" s="37"/>
      <c r="BU24" s="37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ht="16.5" thickBot="1" x14ac:dyDescent="0.3">
      <c r="A25" s="7"/>
      <c r="B25" s="38">
        <v>2</v>
      </c>
      <c r="C25" s="39"/>
      <c r="D25" s="81">
        <f t="shared" ref="D25:D36" si="8">D24+$Y$9+$AP$9</f>
        <v>0.63749999999999984</v>
      </c>
      <c r="E25" s="79"/>
      <c r="F25" s="79"/>
      <c r="G25" s="79"/>
      <c r="H25" s="79"/>
      <c r="I25" s="79" t="str">
        <f>N13</f>
        <v>Eintracht Frankfurt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4" t="s">
        <v>29</v>
      </c>
      <c r="Z25" s="79" t="str">
        <f>N15</f>
        <v>VfR Heilbronn</v>
      </c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4" t="s">
        <v>28</v>
      </c>
      <c r="AS25" s="79"/>
      <c r="AT25" s="79"/>
      <c r="AU25" s="79"/>
      <c r="AV25" s="79"/>
      <c r="AW25" s="80"/>
      <c r="AX25" s="7"/>
      <c r="BC25">
        <f t="shared" si="5"/>
        <v>0</v>
      </c>
      <c r="BE25" s="36">
        <f t="shared" si="6"/>
        <v>0</v>
      </c>
      <c r="BF25" s="36"/>
      <c r="BG25" s="37">
        <f t="shared" ca="1" si="0"/>
        <v>4</v>
      </c>
      <c r="BH25" s="37">
        <f ca="1">IF(BN25&gt;BN26,1,0)+IF(BN25&gt;BN27,1,0)+IF(BN25&gt;BN22,1,0)+IF(BN25&gt;BN23,1,0)+IF(BN25&gt;BN24,1,0)</f>
        <v>2</v>
      </c>
      <c r="BI25" s="37" t="str">
        <f t="shared" si="7"/>
        <v>1. FC Heidenheim</v>
      </c>
      <c r="BJ25" s="37">
        <f t="shared" ca="1" si="1"/>
        <v>0</v>
      </c>
      <c r="BK25" s="37">
        <f t="shared" ca="1" si="2"/>
        <v>0</v>
      </c>
      <c r="BL25" s="37">
        <f t="shared" ca="1" si="3"/>
        <v>0</v>
      </c>
      <c r="BM25" s="37">
        <f t="shared" ca="1" si="4"/>
        <v>0</v>
      </c>
      <c r="BN25" s="37">
        <f ca="1">$BJ25*1000000+$BM25*10000+$BK25+0.3</f>
        <v>0.3</v>
      </c>
      <c r="BO25" s="37"/>
      <c r="BP25" s="37"/>
      <c r="BQ25" s="37"/>
      <c r="BR25" s="37"/>
      <c r="BS25" s="37"/>
      <c r="BT25" s="37"/>
      <c r="BU25" s="37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ht="16.5" thickBot="1" x14ac:dyDescent="0.3">
      <c r="A26" s="7"/>
      <c r="B26" s="38">
        <v>2</v>
      </c>
      <c r="C26" s="39"/>
      <c r="D26" s="82">
        <f t="shared" si="8"/>
        <v>0.64861111111111092</v>
      </c>
      <c r="E26" s="61"/>
      <c r="F26" s="61"/>
      <c r="G26" s="61"/>
      <c r="H26" s="61"/>
      <c r="I26" s="61" t="str">
        <f>N14</f>
        <v>SV Stuttgarter Kickers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10" t="s">
        <v>29</v>
      </c>
      <c r="Z26" s="61" t="str">
        <f>N17</f>
        <v>FC Augsburg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10" t="s">
        <v>28</v>
      </c>
      <c r="AS26" s="61"/>
      <c r="AT26" s="61"/>
      <c r="AU26" s="61"/>
      <c r="AV26" s="61"/>
      <c r="AW26" s="69"/>
      <c r="AX26" s="7"/>
      <c r="BC26">
        <f t="shared" si="5"/>
        <v>0</v>
      </c>
      <c r="BE26" s="36">
        <f t="shared" si="6"/>
        <v>0</v>
      </c>
      <c r="BF26" s="36"/>
      <c r="BG26" s="37">
        <f t="shared" ca="1" si="0"/>
        <v>5</v>
      </c>
      <c r="BH26" s="37">
        <f ca="1">IF(BN26&gt;BN27,1,0)+IF(BN26&gt;BN22,1,0)+IF(BN26&gt;BN23,1,0)+IF(BN26&gt;BN24,1,0)+IF(BN26&gt;BN25,1,0)</f>
        <v>1</v>
      </c>
      <c r="BI26" s="37" t="str">
        <f t="shared" si="7"/>
        <v>FC Augsburg</v>
      </c>
      <c r="BJ26" s="37">
        <f t="shared" ca="1" si="1"/>
        <v>0</v>
      </c>
      <c r="BK26" s="37">
        <f t="shared" ca="1" si="2"/>
        <v>0</v>
      </c>
      <c r="BL26" s="37">
        <f t="shared" ca="1" si="3"/>
        <v>0</v>
      </c>
      <c r="BM26" s="37">
        <f t="shared" ca="1" si="4"/>
        <v>0</v>
      </c>
      <c r="BN26" s="37">
        <f ca="1">$BJ26*1000000+$BM26*10000+$BK26+0.2</f>
        <v>0.2</v>
      </c>
      <c r="BO26" s="37"/>
      <c r="BP26" s="37"/>
      <c r="BQ26" s="37"/>
      <c r="BR26" s="37"/>
      <c r="BS26" s="37"/>
      <c r="BT26" s="37"/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ht="16.5" thickBot="1" x14ac:dyDescent="0.3">
      <c r="A27" s="7"/>
      <c r="B27" s="38">
        <v>2</v>
      </c>
      <c r="C27" s="39"/>
      <c r="D27" s="87">
        <f t="shared" si="8"/>
        <v>0.65972222222222199</v>
      </c>
      <c r="E27" s="65"/>
      <c r="F27" s="65"/>
      <c r="G27" s="65"/>
      <c r="H27" s="65"/>
      <c r="I27" s="65" t="str">
        <f>N16</f>
        <v>1. FC Heidenheim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12" t="s">
        <v>29</v>
      </c>
      <c r="Z27" s="65" t="str">
        <f>N18</f>
        <v>TB Untertürkheim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2" t="s">
        <v>28</v>
      </c>
      <c r="AS27" s="65"/>
      <c r="AT27" s="65"/>
      <c r="AU27" s="65"/>
      <c r="AV27" s="65"/>
      <c r="AW27" s="78"/>
      <c r="AX27" s="7"/>
      <c r="BC27">
        <f t="shared" si="5"/>
        <v>0</v>
      </c>
      <c r="BE27" s="36">
        <f t="shared" si="6"/>
        <v>0</v>
      </c>
      <c r="BF27" s="36"/>
      <c r="BG27" s="37">
        <f t="shared" ca="1" si="0"/>
        <v>6</v>
      </c>
      <c r="BH27" s="37">
        <f ca="1">IF(BN27&gt;BN22,1,0)+IF(BN27&gt;BN23,1,0)+IF(BN27&gt;BN24,1,0)+IF(BN27&gt;BN25,1,0)+IF(BN27&gt;BN26,1,0)</f>
        <v>0</v>
      </c>
      <c r="BI27" s="37" t="str">
        <f t="shared" si="7"/>
        <v>TB Untertürkheim</v>
      </c>
      <c r="BJ27" s="37">
        <f t="shared" ca="1" si="1"/>
        <v>0</v>
      </c>
      <c r="BK27" s="37">
        <f t="shared" ca="1" si="2"/>
        <v>0</v>
      </c>
      <c r="BL27" s="37">
        <f t="shared" ca="1" si="3"/>
        <v>0</v>
      </c>
      <c r="BM27" s="37">
        <f t="shared" ca="1" si="4"/>
        <v>0</v>
      </c>
      <c r="BN27" s="37">
        <f ca="1">$BJ27*1000000+$BM27*10000+$BK27+0.1</f>
        <v>0.1</v>
      </c>
      <c r="BO27" s="37"/>
      <c r="BP27" s="37"/>
      <c r="BQ27" s="37"/>
      <c r="BR27" s="37"/>
      <c r="BS27" s="37"/>
      <c r="BT27" s="37"/>
      <c r="BU27" s="37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ht="16.5" thickBot="1" x14ac:dyDescent="0.3">
      <c r="A28" s="7"/>
      <c r="B28" s="38">
        <v>2</v>
      </c>
      <c r="C28" s="39"/>
      <c r="D28" s="81">
        <f t="shared" si="8"/>
        <v>0.67083333333333306</v>
      </c>
      <c r="E28" s="79"/>
      <c r="F28" s="79"/>
      <c r="G28" s="79"/>
      <c r="H28" s="79"/>
      <c r="I28" s="79" t="str">
        <f>N17</f>
        <v>FC Augsburg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4" t="s">
        <v>29</v>
      </c>
      <c r="Z28" s="79" t="str">
        <f>N13</f>
        <v>Eintracht Frankfurt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4" t="s">
        <v>28</v>
      </c>
      <c r="AS28" s="79"/>
      <c r="AT28" s="79"/>
      <c r="AU28" s="79"/>
      <c r="AV28" s="79"/>
      <c r="AW28" s="80"/>
      <c r="AX28" s="7"/>
      <c r="BC28">
        <f t="shared" si="5"/>
        <v>0</v>
      </c>
      <c r="BE28" s="36">
        <f t="shared" si="6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84" ht="16.5" thickBot="1" x14ac:dyDescent="0.3">
      <c r="A29" s="7"/>
      <c r="B29" s="38">
        <v>2</v>
      </c>
      <c r="C29" s="39"/>
      <c r="D29" s="82">
        <f t="shared" si="8"/>
        <v>0.68194444444444413</v>
      </c>
      <c r="E29" s="61"/>
      <c r="F29" s="61"/>
      <c r="G29" s="61"/>
      <c r="H29" s="61"/>
      <c r="I29" s="61" t="str">
        <f>N14</f>
        <v>SV Stuttgarter Kickers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0" t="s">
        <v>29</v>
      </c>
      <c r="Z29" s="61" t="str">
        <f>N16</f>
        <v>1. FC Heidenheim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0" t="s">
        <v>28</v>
      </c>
      <c r="AS29" s="61"/>
      <c r="AT29" s="61"/>
      <c r="AU29" s="61"/>
      <c r="AV29" s="61"/>
      <c r="AW29" s="69"/>
      <c r="AX29" s="7"/>
      <c r="BC29">
        <f t="shared" si="5"/>
        <v>0</v>
      </c>
      <c r="BE29" s="36">
        <f t="shared" si="6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84" ht="16.5" thickBot="1" x14ac:dyDescent="0.3">
      <c r="A30" s="7"/>
      <c r="B30" s="38">
        <v>2</v>
      </c>
      <c r="C30" s="39"/>
      <c r="D30" s="87">
        <f t="shared" si="8"/>
        <v>0.6930555555555552</v>
      </c>
      <c r="E30" s="65"/>
      <c r="F30" s="65"/>
      <c r="G30" s="65"/>
      <c r="H30" s="65"/>
      <c r="I30" s="65" t="str">
        <f>N18</f>
        <v>TB Untertürkheim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12" t="s">
        <v>29</v>
      </c>
      <c r="Z30" s="65" t="str">
        <f>N15</f>
        <v>VfR Heilbronn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12" t="s">
        <v>28</v>
      </c>
      <c r="AS30" s="65"/>
      <c r="AT30" s="65"/>
      <c r="AU30" s="65"/>
      <c r="AV30" s="65"/>
      <c r="AW30" s="78"/>
      <c r="AX30" s="7"/>
      <c r="BC30">
        <f t="shared" si="5"/>
        <v>0</v>
      </c>
      <c r="BE30" s="36">
        <f t="shared" si="6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84" ht="16.5" thickBot="1" x14ac:dyDescent="0.3">
      <c r="A31" s="7"/>
      <c r="B31" s="38">
        <v>2</v>
      </c>
      <c r="C31" s="39"/>
      <c r="D31" s="81">
        <f t="shared" si="8"/>
        <v>0.70416666666666627</v>
      </c>
      <c r="E31" s="79"/>
      <c r="F31" s="79"/>
      <c r="G31" s="79"/>
      <c r="H31" s="79"/>
      <c r="I31" s="79" t="str">
        <f>N13</f>
        <v>Eintracht Frankfurt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14" t="s">
        <v>29</v>
      </c>
      <c r="Z31" s="79" t="str">
        <f>N16</f>
        <v>1. FC Heidenheim</v>
      </c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4" t="s">
        <v>28</v>
      </c>
      <c r="AS31" s="79"/>
      <c r="AT31" s="79"/>
      <c r="AU31" s="79"/>
      <c r="AV31" s="79"/>
      <c r="AW31" s="80"/>
      <c r="AX31" s="7"/>
      <c r="BC31">
        <f t="shared" si="5"/>
        <v>0</v>
      </c>
      <c r="BE31" s="36">
        <f t="shared" si="6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84" ht="16.5" thickBot="1" x14ac:dyDescent="0.3">
      <c r="A32" s="7"/>
      <c r="B32" s="38">
        <v>2</v>
      </c>
      <c r="C32" s="39"/>
      <c r="D32" s="82">
        <f t="shared" si="8"/>
        <v>0.71527777777777735</v>
      </c>
      <c r="E32" s="61"/>
      <c r="F32" s="61"/>
      <c r="G32" s="61"/>
      <c r="H32" s="61"/>
      <c r="I32" s="61" t="str">
        <f>N18</f>
        <v>TB Untertürkheim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0" t="s">
        <v>29</v>
      </c>
      <c r="Z32" s="61" t="str">
        <f>N14</f>
        <v>SV Stuttgarter Kickers</v>
      </c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10" t="s">
        <v>28</v>
      </c>
      <c r="AS32" s="61"/>
      <c r="AT32" s="61"/>
      <c r="AU32" s="61"/>
      <c r="AV32" s="61"/>
      <c r="AW32" s="69"/>
      <c r="AX32" s="7"/>
      <c r="BC32">
        <f t="shared" si="5"/>
        <v>0</v>
      </c>
      <c r="BE32" s="36">
        <f t="shared" si="6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ht="16.5" thickBot="1" x14ac:dyDescent="0.3">
      <c r="A33" s="7"/>
      <c r="B33" s="38">
        <v>2</v>
      </c>
      <c r="C33" s="39"/>
      <c r="D33" s="87">
        <f t="shared" si="8"/>
        <v>0.72638888888888842</v>
      </c>
      <c r="E33" s="65"/>
      <c r="F33" s="65"/>
      <c r="G33" s="65"/>
      <c r="H33" s="65"/>
      <c r="I33" s="65" t="str">
        <f>N15</f>
        <v>VfR Heilbronn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2" t="s">
        <v>29</v>
      </c>
      <c r="Z33" s="65" t="str">
        <f>N17</f>
        <v>FC Augsburg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2" t="s">
        <v>28</v>
      </c>
      <c r="AS33" s="65"/>
      <c r="AT33" s="65"/>
      <c r="AU33" s="65"/>
      <c r="AV33" s="65"/>
      <c r="AW33" s="78"/>
      <c r="AX33" s="7"/>
      <c r="BC33">
        <f t="shared" si="5"/>
        <v>0</v>
      </c>
      <c r="BE33" s="36">
        <f t="shared" si="6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ht="16.5" thickBot="1" x14ac:dyDescent="0.3">
      <c r="A34" s="7"/>
      <c r="B34" s="38">
        <v>2</v>
      </c>
      <c r="C34" s="39"/>
      <c r="D34" s="81">
        <f t="shared" si="8"/>
        <v>0.73749999999999949</v>
      </c>
      <c r="E34" s="79"/>
      <c r="F34" s="79"/>
      <c r="G34" s="79"/>
      <c r="H34" s="79"/>
      <c r="I34" s="79" t="str">
        <f>N18</f>
        <v>TB Untertürkheim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4" t="s">
        <v>29</v>
      </c>
      <c r="Z34" s="79" t="str">
        <f>N13</f>
        <v>Eintracht Frankfurt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4" t="s">
        <v>28</v>
      </c>
      <c r="AS34" s="79"/>
      <c r="AT34" s="79"/>
      <c r="AU34" s="79"/>
      <c r="AV34" s="79"/>
      <c r="AW34" s="80"/>
      <c r="AX34" s="7"/>
      <c r="BC34">
        <f t="shared" si="5"/>
        <v>0</v>
      </c>
      <c r="BE34" s="36">
        <f t="shared" si="6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ht="16.5" thickBot="1" x14ac:dyDescent="0.3">
      <c r="A35" s="7"/>
      <c r="B35" s="38">
        <v>2</v>
      </c>
      <c r="C35" s="39"/>
      <c r="D35" s="82">
        <f t="shared" si="8"/>
        <v>0.74861111111111056</v>
      </c>
      <c r="E35" s="61"/>
      <c r="F35" s="61"/>
      <c r="G35" s="61"/>
      <c r="H35" s="61"/>
      <c r="I35" s="61" t="str">
        <f>N14</f>
        <v>SV Stuttgarter Kickers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0" t="s">
        <v>29</v>
      </c>
      <c r="Z35" s="61" t="str">
        <f>N15</f>
        <v>VfR Heilbronn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10" t="s">
        <v>28</v>
      </c>
      <c r="AS35" s="61"/>
      <c r="AT35" s="61"/>
      <c r="AU35" s="61"/>
      <c r="AV35" s="61"/>
      <c r="AW35" s="69"/>
      <c r="AX35" s="7"/>
      <c r="BC35">
        <f t="shared" si="5"/>
        <v>0</v>
      </c>
      <c r="BE35" s="36">
        <f t="shared" si="6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73" ht="16.5" thickBot="1" x14ac:dyDescent="0.3">
      <c r="A36" s="7"/>
      <c r="B36" s="38">
        <v>2</v>
      </c>
      <c r="C36" s="39"/>
      <c r="D36" s="87">
        <f t="shared" si="8"/>
        <v>0.75972222222222163</v>
      </c>
      <c r="E36" s="65"/>
      <c r="F36" s="65"/>
      <c r="G36" s="65"/>
      <c r="H36" s="65"/>
      <c r="I36" s="65" t="str">
        <f>N16</f>
        <v>1. FC Heidenheim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12" t="s">
        <v>29</v>
      </c>
      <c r="Z36" s="65" t="str">
        <f>N17</f>
        <v>FC Augsburg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12" t="s">
        <v>28</v>
      </c>
      <c r="AS36" s="65"/>
      <c r="AT36" s="65"/>
      <c r="AU36" s="65"/>
      <c r="AV36" s="65"/>
      <c r="AW36" s="78"/>
      <c r="AX36" s="7"/>
      <c r="BC36">
        <f t="shared" si="5"/>
        <v>0</v>
      </c>
      <c r="BE36" s="36">
        <f t="shared" si="6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3" ht="16.5" thickBot="1" x14ac:dyDescent="0.3">
      <c r="A38" s="7"/>
      <c r="B38" s="9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</row>
    <row r="39" spans="1:73" ht="15.75" x14ac:dyDescent="0.25">
      <c r="A39" s="8"/>
      <c r="B39" s="8"/>
      <c r="C39" s="8"/>
      <c r="D39" s="8"/>
      <c r="E39" s="8"/>
      <c r="F39" s="8"/>
      <c r="G39" s="8"/>
      <c r="H39" s="76" t="s">
        <v>34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4" t="s">
        <v>33</v>
      </c>
      <c r="AH39" s="74"/>
      <c r="AI39" s="74"/>
      <c r="AJ39" s="74" t="s">
        <v>31</v>
      </c>
      <c r="AK39" s="74"/>
      <c r="AL39" s="74"/>
      <c r="AM39" s="74"/>
      <c r="AN39" s="74"/>
      <c r="AO39" s="74" t="s">
        <v>32</v>
      </c>
      <c r="AP39" s="74"/>
      <c r="AQ39" s="75"/>
      <c r="AR39" s="8"/>
      <c r="AS39" s="8"/>
      <c r="AT39" s="8"/>
      <c r="AU39" s="8"/>
      <c r="AV39" s="8"/>
      <c r="AW39" s="8"/>
      <c r="AX39" s="8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</row>
    <row r="40" spans="1:73" ht="15.75" x14ac:dyDescent="0.25">
      <c r="A40" s="7"/>
      <c r="B40" s="7"/>
      <c r="C40" s="7"/>
      <c r="D40" s="7"/>
      <c r="E40" s="7"/>
      <c r="F40" s="7"/>
      <c r="G40" s="7"/>
      <c r="H40" s="72" t="s">
        <v>4</v>
      </c>
      <c r="I40" s="61"/>
      <c r="J40" s="62" t="str">
        <f ca="1">VLOOKUP(5,BH22:BN27,2,FALSE)</f>
        <v>Eintracht Frankfurt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70"/>
      <c r="AG40" s="61">
        <f ca="1">VLOOKUP(5,BH22:BN27,3,FALSE)</f>
        <v>0</v>
      </c>
      <c r="AH40" s="61"/>
      <c r="AI40" s="61"/>
      <c r="AJ40" s="61">
        <f ca="1">VLOOKUP(5,BH22:BP27,4,FALSE)</f>
        <v>0</v>
      </c>
      <c r="AK40" s="61"/>
      <c r="AL40" s="10" t="s">
        <v>28</v>
      </c>
      <c r="AM40" s="61">
        <f ca="1">VLOOKUP(5,BH22:BP27,5,FALSE)</f>
        <v>0</v>
      </c>
      <c r="AN40" s="61"/>
      <c r="AO40" s="61">
        <f ca="1">AJ40-AM40</f>
        <v>0</v>
      </c>
      <c r="AP40" s="61"/>
      <c r="AQ40" s="69"/>
      <c r="AR40" s="7"/>
      <c r="AS40" s="7"/>
      <c r="AT40" s="7"/>
      <c r="AU40" s="7"/>
      <c r="AV40" s="7"/>
      <c r="AW40" s="7"/>
      <c r="AX40" s="7"/>
      <c r="BE40" s="36"/>
      <c r="BF40" s="36"/>
      <c r="BG40" s="36"/>
      <c r="BH40" s="36"/>
      <c r="BI40" s="36" t="str">
        <f ca="1">VLOOKUP(5,BH22:BN27,2,FALSE)</f>
        <v>Eintracht Frankfurt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</row>
    <row r="41" spans="1:73" ht="15.75" x14ac:dyDescent="0.25">
      <c r="A41" s="7"/>
      <c r="B41" s="7"/>
      <c r="C41" s="7"/>
      <c r="D41" s="7"/>
      <c r="E41" s="7"/>
      <c r="F41" s="7"/>
      <c r="G41" s="7"/>
      <c r="H41" s="72" t="s">
        <v>5</v>
      </c>
      <c r="I41" s="61"/>
      <c r="J41" s="62" t="str">
        <f ca="1">VLOOKUP(4,BH22:BP27,2,FALSE)</f>
        <v>SV Stuttgarter Kickers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70"/>
      <c r="AG41" s="61">
        <f ca="1">VLOOKUP(4,BH22:BP27,3,FALSE)</f>
        <v>0</v>
      </c>
      <c r="AH41" s="61"/>
      <c r="AI41" s="61"/>
      <c r="AJ41" s="61">
        <f ca="1">VLOOKUP(4,BH22:BP27,4,FALSE)</f>
        <v>0</v>
      </c>
      <c r="AK41" s="61"/>
      <c r="AL41" s="10" t="s">
        <v>28</v>
      </c>
      <c r="AM41" s="61">
        <f ca="1">VLOOKUP(4,BH22:BP27,5,FALSE)</f>
        <v>0</v>
      </c>
      <c r="AN41" s="61"/>
      <c r="AO41" s="62">
        <f t="shared" ref="AO41:AO45" ca="1" si="9">AJ41-AM41</f>
        <v>0</v>
      </c>
      <c r="AP41" s="63"/>
      <c r="AQ41" s="64"/>
      <c r="AR41" s="7"/>
      <c r="AS41" s="7"/>
      <c r="AT41" s="7"/>
      <c r="AU41" s="7"/>
      <c r="AV41" s="7"/>
      <c r="AW41" s="7"/>
      <c r="AX41" s="7"/>
      <c r="BE41" s="36"/>
      <c r="BF41" s="36"/>
      <c r="BG41" s="36"/>
      <c r="BH41" s="36"/>
      <c r="BI41" s="36" t="str">
        <f ca="1">VLOOKUP(4,BH22:BP27,2,FALSE)</f>
        <v>SV Stuttgarter Kickers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ht="15.75" x14ac:dyDescent="0.25">
      <c r="A42" s="7"/>
      <c r="B42" s="7"/>
      <c r="C42" s="7"/>
      <c r="D42" s="7"/>
      <c r="E42" s="7"/>
      <c r="F42" s="7"/>
      <c r="G42" s="7"/>
      <c r="H42" s="72" t="s">
        <v>6</v>
      </c>
      <c r="I42" s="61"/>
      <c r="J42" s="62" t="str">
        <f ca="1">VLOOKUP(3,BH22:BP27,2,FALSE)</f>
        <v>VfR Heilbronn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70"/>
      <c r="AG42" s="61">
        <f ca="1">VLOOKUP(3,BH22:BP27,3,FALSE)</f>
        <v>0</v>
      </c>
      <c r="AH42" s="61"/>
      <c r="AI42" s="61"/>
      <c r="AJ42" s="61">
        <f ca="1">VLOOKUP(3,BH22:BP27,4,FALSE)</f>
        <v>0</v>
      </c>
      <c r="AK42" s="61"/>
      <c r="AL42" s="10" t="s">
        <v>28</v>
      </c>
      <c r="AM42" s="61">
        <f ca="1">VLOOKUP(3,BH22:BP27,5,FALSE)</f>
        <v>0</v>
      </c>
      <c r="AN42" s="61"/>
      <c r="AO42" s="62">
        <f t="shared" ca="1" si="9"/>
        <v>0</v>
      </c>
      <c r="AP42" s="63"/>
      <c r="AQ42" s="64"/>
      <c r="AR42" s="7"/>
      <c r="AS42" s="7"/>
      <c r="AT42" s="7"/>
      <c r="AU42" s="7"/>
      <c r="AV42" s="7"/>
      <c r="AW42" s="7"/>
      <c r="AX42" s="7"/>
      <c r="BE42" s="36"/>
      <c r="BF42" s="36"/>
      <c r="BG42" s="36"/>
      <c r="BH42" s="36"/>
      <c r="BI42" s="36" t="str">
        <f ca="1">VLOOKUP(3,BH22:BP27,2,FALSE)</f>
        <v>VfR Heilbronn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ht="15.75" x14ac:dyDescent="0.25">
      <c r="A43" s="7"/>
      <c r="B43" s="7"/>
      <c r="C43" s="7"/>
      <c r="D43" s="7"/>
      <c r="E43" s="7"/>
      <c r="F43" s="7"/>
      <c r="G43" s="7"/>
      <c r="H43" s="72" t="s">
        <v>7</v>
      </c>
      <c r="I43" s="61"/>
      <c r="J43" s="62" t="str">
        <f ca="1">VLOOKUP(2,BH22:BP27,2,FALSE)</f>
        <v>1. FC Heidenheim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70"/>
      <c r="AG43" s="61">
        <f ca="1">VLOOKUP(2,BH22:BP27,3,FALSE)</f>
        <v>0</v>
      </c>
      <c r="AH43" s="61"/>
      <c r="AI43" s="61"/>
      <c r="AJ43" s="61">
        <f ca="1">VLOOKUP(2,BH22:BP27,4,FALSE)</f>
        <v>0</v>
      </c>
      <c r="AK43" s="61"/>
      <c r="AL43" s="10" t="s">
        <v>28</v>
      </c>
      <c r="AM43" s="61">
        <f ca="1">VLOOKUP(2,BH22:BP27,5,FALSE)</f>
        <v>0</v>
      </c>
      <c r="AN43" s="61"/>
      <c r="AO43" s="62">
        <f t="shared" ca="1" si="9"/>
        <v>0</v>
      </c>
      <c r="AP43" s="63"/>
      <c r="AQ43" s="64"/>
      <c r="AR43" s="7"/>
      <c r="AS43" s="7"/>
      <c r="AT43" s="7"/>
      <c r="AU43" s="7"/>
      <c r="AV43" s="7"/>
      <c r="AW43" s="7"/>
      <c r="AX43" s="7"/>
      <c r="BE43" s="36"/>
      <c r="BF43" s="36"/>
      <c r="BG43" s="36"/>
      <c r="BH43" s="36"/>
      <c r="BI43" s="36" t="str">
        <f ca="1">VLOOKUP(2,BH22:BP27,2,FALSE)</f>
        <v>1. FC Heidenheim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ht="15.75" x14ac:dyDescent="0.25">
      <c r="A44" s="7"/>
      <c r="B44" s="7"/>
      <c r="C44" s="7"/>
      <c r="D44" s="7"/>
      <c r="E44" s="7"/>
      <c r="F44" s="7"/>
      <c r="G44" s="7"/>
      <c r="H44" s="72" t="s">
        <v>8</v>
      </c>
      <c r="I44" s="61"/>
      <c r="J44" s="62" t="str">
        <f ca="1">VLOOKUP(1,BH22:BP27,2,FALSE)</f>
        <v>FC Augsburg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70"/>
      <c r="AG44" s="61">
        <f ca="1">VLOOKUP(1,BH22:BP27,3,FALSE)</f>
        <v>0</v>
      </c>
      <c r="AH44" s="61"/>
      <c r="AI44" s="61"/>
      <c r="AJ44" s="61">
        <f ca="1">VLOOKUP(1,BH22:BP27,4,FALSE)</f>
        <v>0</v>
      </c>
      <c r="AK44" s="61"/>
      <c r="AL44" s="10" t="s">
        <v>28</v>
      </c>
      <c r="AM44" s="61">
        <f ca="1">VLOOKUP(1,BH22:BP27,5,FALSE)</f>
        <v>0</v>
      </c>
      <c r="AN44" s="61"/>
      <c r="AO44" s="62">
        <f t="shared" ca="1" si="9"/>
        <v>0</v>
      </c>
      <c r="AP44" s="63"/>
      <c r="AQ44" s="64"/>
      <c r="AR44" s="7"/>
      <c r="AS44" s="7"/>
      <c r="AT44" s="7"/>
      <c r="AU44" s="7"/>
      <c r="AV44" s="7"/>
      <c r="AW44" s="7"/>
      <c r="AX44" s="7"/>
      <c r="BE44" s="36"/>
      <c r="BF44" s="36"/>
      <c r="BG44" s="36"/>
      <c r="BH44" s="36"/>
      <c r="BI44" s="36" t="str">
        <f ca="1">VLOOKUP(1,BH22:BP27,2,FALSE)</f>
        <v>FC Augsburg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ht="16.5" thickBot="1" x14ac:dyDescent="0.3">
      <c r="A45" s="7"/>
      <c r="B45" s="7"/>
      <c r="C45" s="7"/>
      <c r="D45" s="7"/>
      <c r="E45" s="7"/>
      <c r="F45" s="7"/>
      <c r="G45" s="7"/>
      <c r="H45" s="73" t="s">
        <v>9</v>
      </c>
      <c r="I45" s="65"/>
      <c r="J45" s="66" t="str">
        <f ca="1">VLOOKUP(0,BH22:BP27,2,FALSE)</f>
        <v>TB Untertürkheim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1"/>
      <c r="AG45" s="65">
        <f ca="1">VLOOKUP(0,BH22:BP27,3,FALSE)</f>
        <v>0</v>
      </c>
      <c r="AH45" s="65"/>
      <c r="AI45" s="65"/>
      <c r="AJ45" s="65">
        <f ca="1">VLOOKUP(0,BH22:BP27,4,FALSE)</f>
        <v>0</v>
      </c>
      <c r="AK45" s="65"/>
      <c r="AL45" s="12" t="s">
        <v>28</v>
      </c>
      <c r="AM45" s="65">
        <f ca="1">VLOOKUP(0,BH22:BP27,5,FALSE)</f>
        <v>0</v>
      </c>
      <c r="AN45" s="65"/>
      <c r="AO45" s="66">
        <f t="shared" ca="1" si="9"/>
        <v>0</v>
      </c>
      <c r="AP45" s="67"/>
      <c r="AQ45" s="68"/>
      <c r="AR45" s="7"/>
      <c r="AS45" s="7"/>
      <c r="AT45" s="7"/>
      <c r="AU45" s="7"/>
      <c r="AV45" s="7"/>
      <c r="AW45" s="7"/>
      <c r="AX45" s="7"/>
      <c r="BE45" s="36"/>
      <c r="BF45" s="36"/>
      <c r="BG45" s="36"/>
      <c r="BH45" s="36"/>
      <c r="BI45" s="36" t="str">
        <f ca="1">VLOOKUP(0,BH22:BP27,2,FALSE)</f>
        <v>TB Untertürkheim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x14ac:dyDescent="0.25">
      <c r="BE46" s="36"/>
      <c r="BF46" s="36"/>
      <c r="BG46" s="36"/>
      <c r="BH46" s="36"/>
      <c r="BI46" s="36">
        <f>IF(ISBLANK(AS36),0,1)</f>
        <v>0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x14ac:dyDescent="0.25"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</sheetData>
  <mergeCells count="159">
    <mergeCell ref="H45:I45"/>
    <mergeCell ref="J45:AF45"/>
    <mergeCell ref="AG45:AI45"/>
    <mergeCell ref="AJ45:AK45"/>
    <mergeCell ref="AM45:AN45"/>
    <mergeCell ref="AO45:AQ45"/>
    <mergeCell ref="H44:I44"/>
    <mergeCell ref="J44:AF44"/>
    <mergeCell ref="AG44:AI44"/>
    <mergeCell ref="AJ44:AK44"/>
    <mergeCell ref="AM44:AN44"/>
    <mergeCell ref="AO44:AQ44"/>
    <mergeCell ref="H43:I43"/>
    <mergeCell ref="J43:AF43"/>
    <mergeCell ref="AG43:AI43"/>
    <mergeCell ref="AJ43:AK43"/>
    <mergeCell ref="AM43:AN43"/>
    <mergeCell ref="AO43:AQ43"/>
    <mergeCell ref="H42:I42"/>
    <mergeCell ref="J42:AF42"/>
    <mergeCell ref="AG42:AI42"/>
    <mergeCell ref="AJ42:AK42"/>
    <mergeCell ref="AM42:AN42"/>
    <mergeCell ref="AO42:AQ42"/>
    <mergeCell ref="H41:I41"/>
    <mergeCell ref="J41:AF41"/>
    <mergeCell ref="AG41:AI41"/>
    <mergeCell ref="AJ41:AK41"/>
    <mergeCell ref="AM41:AN41"/>
    <mergeCell ref="AO41:AQ41"/>
    <mergeCell ref="H39:AF39"/>
    <mergeCell ref="AG39:AI39"/>
    <mergeCell ref="AJ39:AN39"/>
    <mergeCell ref="AO39:AQ39"/>
    <mergeCell ref="H40:I40"/>
    <mergeCell ref="J40:AF40"/>
    <mergeCell ref="AG40:AI40"/>
    <mergeCell ref="AJ40:AK40"/>
    <mergeCell ref="AM40:AN40"/>
    <mergeCell ref="AO40:AQ40"/>
    <mergeCell ref="AU35:AW35"/>
    <mergeCell ref="D36:H36"/>
    <mergeCell ref="I36:X36"/>
    <mergeCell ref="Z36:AO36"/>
    <mergeCell ref="AP36:AQ36"/>
    <mergeCell ref="AS36:AT36"/>
    <mergeCell ref="AU36:AW36"/>
    <mergeCell ref="D35:H35"/>
    <mergeCell ref="I35:X35"/>
    <mergeCell ref="Z35:AO35"/>
    <mergeCell ref="AP35:AQ35"/>
    <mergeCell ref="AS35:AT35"/>
    <mergeCell ref="AU33:AW33"/>
    <mergeCell ref="D34:H34"/>
    <mergeCell ref="I34:X34"/>
    <mergeCell ref="Z34:AO34"/>
    <mergeCell ref="AP34:AQ34"/>
    <mergeCell ref="AS34:AT34"/>
    <mergeCell ref="AU34:AW34"/>
    <mergeCell ref="D33:H33"/>
    <mergeCell ref="I33:X33"/>
    <mergeCell ref="Z33:AO33"/>
    <mergeCell ref="AP33:AQ33"/>
    <mergeCell ref="AS33:AT33"/>
    <mergeCell ref="AU31:AW31"/>
    <mergeCell ref="D32:H32"/>
    <mergeCell ref="I32:X32"/>
    <mergeCell ref="Z32:AO32"/>
    <mergeCell ref="AP32:AQ32"/>
    <mergeCell ref="AS32:AT32"/>
    <mergeCell ref="AU32:AW32"/>
    <mergeCell ref="D31:H31"/>
    <mergeCell ref="I31:X31"/>
    <mergeCell ref="Z31:AO31"/>
    <mergeCell ref="AP31:AQ31"/>
    <mergeCell ref="AS31:AT31"/>
    <mergeCell ref="AU29:AW29"/>
    <mergeCell ref="D30:H30"/>
    <mergeCell ref="I30:X30"/>
    <mergeCell ref="Z30:AO30"/>
    <mergeCell ref="AP30:AQ30"/>
    <mergeCell ref="AS30:AT30"/>
    <mergeCell ref="AU30:AW30"/>
    <mergeCell ref="D29:H29"/>
    <mergeCell ref="I29:X29"/>
    <mergeCell ref="Z29:AO29"/>
    <mergeCell ref="AP29:AQ29"/>
    <mergeCell ref="AS29:AT29"/>
    <mergeCell ref="D28:H28"/>
    <mergeCell ref="I28:X28"/>
    <mergeCell ref="Z28:AO28"/>
    <mergeCell ref="AP28:AQ28"/>
    <mergeCell ref="AS28:AT28"/>
    <mergeCell ref="AU28:AW28"/>
    <mergeCell ref="D27:H27"/>
    <mergeCell ref="I27:X27"/>
    <mergeCell ref="Z27:AO27"/>
    <mergeCell ref="AP27:AQ27"/>
    <mergeCell ref="AS27:AT27"/>
    <mergeCell ref="AU27:AW27"/>
    <mergeCell ref="D26:H26"/>
    <mergeCell ref="I26:X26"/>
    <mergeCell ref="Z26:AO26"/>
    <mergeCell ref="AP26:AQ26"/>
    <mergeCell ref="AS26:AT26"/>
    <mergeCell ref="AU26:AW26"/>
    <mergeCell ref="AU25:AW25"/>
    <mergeCell ref="D25:H25"/>
    <mergeCell ref="I25:X25"/>
    <mergeCell ref="Z25:AO25"/>
    <mergeCell ref="AP25:AQ25"/>
    <mergeCell ref="AS25:AT25"/>
    <mergeCell ref="D23:H23"/>
    <mergeCell ref="I23:X23"/>
    <mergeCell ref="Z23:AO23"/>
    <mergeCell ref="AP23:AQ23"/>
    <mergeCell ref="AS23:AT23"/>
    <mergeCell ref="AU23:AW23"/>
    <mergeCell ref="D24:H24"/>
    <mergeCell ref="I24:X24"/>
    <mergeCell ref="Z24:AO24"/>
    <mergeCell ref="AP24:AQ24"/>
    <mergeCell ref="AS24:AT24"/>
    <mergeCell ref="AU24:AW24"/>
    <mergeCell ref="AU21:AW21"/>
    <mergeCell ref="D22:H22"/>
    <mergeCell ref="I22:X22"/>
    <mergeCell ref="Z22:AO22"/>
    <mergeCell ref="AP22:AQ22"/>
    <mergeCell ref="AS22:AT22"/>
    <mergeCell ref="AU22:AW22"/>
    <mergeCell ref="K18:M18"/>
    <mergeCell ref="N18:AN18"/>
    <mergeCell ref="B21:C21"/>
    <mergeCell ref="D21:H21"/>
    <mergeCell ref="I21:AO21"/>
    <mergeCell ref="AP21:AT21"/>
    <mergeCell ref="K15:M15"/>
    <mergeCell ref="N15:AN15"/>
    <mergeCell ref="K16:M16"/>
    <mergeCell ref="N16:AN16"/>
    <mergeCell ref="K17:M17"/>
    <mergeCell ref="N17:AN17"/>
    <mergeCell ref="AU9:AW9"/>
    <mergeCell ref="K12:AN12"/>
    <mergeCell ref="K13:M13"/>
    <mergeCell ref="N13:AN13"/>
    <mergeCell ref="K14:M14"/>
    <mergeCell ref="N14:AN14"/>
    <mergeCell ref="M6:AL6"/>
    <mergeCell ref="A7:AX7"/>
    <mergeCell ref="B9:F9"/>
    <mergeCell ref="G9:K9"/>
    <mergeCell ref="L9:N9"/>
    <mergeCell ref="S9:X9"/>
    <mergeCell ref="Y9:AC9"/>
    <mergeCell ref="AD9:AF9"/>
    <mergeCell ref="AK9:AO9"/>
    <mergeCell ref="AP9:AT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P133"/>
  <sheetViews>
    <sheetView showGridLines="0" zoomScale="115" zoomScaleNormal="115" workbookViewId="0"/>
  </sheetViews>
  <sheetFormatPr baseColWidth="10" defaultColWidth="1.7109375" defaultRowHeight="15" x14ac:dyDescent="0.25"/>
  <cols>
    <col min="53" max="53" width="2.140625" bestFit="1" customWidth="1"/>
    <col min="55" max="55" width="2.140625" bestFit="1" customWidth="1"/>
    <col min="57" max="58" width="2.140625" bestFit="1" customWidth="1"/>
    <col min="59" max="59" width="12.7109375" bestFit="1" customWidth="1"/>
    <col min="60" max="62" width="13.7109375" bestFit="1" customWidth="1"/>
    <col min="63" max="63" width="2.140625" bestFit="1" customWidth="1"/>
    <col min="64" max="64" width="10.85546875" bestFit="1" customWidth="1"/>
    <col min="67" max="67" width="2.140625" bestFit="1" customWidth="1"/>
    <col min="69" max="69" width="1.7109375" customWidth="1"/>
  </cols>
  <sheetData>
    <row r="2" spans="1:68" ht="37.5" x14ac:dyDescent="0.7">
      <c r="L2" s="3" t="s">
        <v>0</v>
      </c>
    </row>
    <row r="3" spans="1:68" ht="29.25" x14ac:dyDescent="0.55000000000000004">
      <c r="M3" s="2"/>
      <c r="Q3" s="1" t="str">
        <f>Deckblatt!Q3</f>
        <v>10. attimo-Cup</v>
      </c>
    </row>
    <row r="6" spans="1:68" ht="15.75" x14ac:dyDescent="0.25">
      <c r="M6" s="94" t="s">
        <v>167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68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68" x14ac:dyDescent="0.25"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</row>
    <row r="9" spans="1:68" ht="15.75" x14ac:dyDescent="0.25">
      <c r="A9" s="7"/>
      <c r="B9" s="90" t="s">
        <v>17</v>
      </c>
      <c r="C9" s="90"/>
      <c r="D9" s="90"/>
      <c r="E9" s="90"/>
      <c r="F9" s="90"/>
      <c r="G9" s="93">
        <v>0.375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6.9444444444444441E-3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6.9444444444444447E-4</v>
      </c>
      <c r="AQ9" s="91"/>
      <c r="AR9" s="91"/>
      <c r="AS9" s="91"/>
      <c r="AT9" s="91"/>
      <c r="AU9" s="90" t="s">
        <v>20</v>
      </c>
      <c r="AV9" s="90"/>
      <c r="AW9" s="90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1:68" ht="15.75" x14ac:dyDescent="0.25">
      <c r="A10" s="7"/>
      <c r="B10" s="8"/>
      <c r="C10" s="8"/>
      <c r="D10" s="8"/>
      <c r="E10" s="8"/>
      <c r="F10" s="8"/>
      <c r="G10" s="17"/>
      <c r="H10" s="17"/>
      <c r="I10" s="17"/>
      <c r="J10" s="17"/>
      <c r="K10" s="17"/>
      <c r="L10" s="8"/>
      <c r="M10" s="8"/>
      <c r="N10" s="8"/>
      <c r="S10" s="8"/>
      <c r="T10" s="8"/>
      <c r="U10" s="8"/>
      <c r="V10" s="8"/>
      <c r="W10" s="8"/>
      <c r="X10" s="8"/>
      <c r="Y10" s="16"/>
      <c r="Z10" s="16"/>
      <c r="AA10" s="16"/>
      <c r="AB10" s="16"/>
      <c r="AC10" s="16"/>
      <c r="AD10" s="8"/>
      <c r="AE10" s="8"/>
      <c r="AF10" s="8"/>
      <c r="AJ10" s="7"/>
      <c r="AK10" s="8"/>
      <c r="AL10" s="8"/>
      <c r="AM10" s="8"/>
      <c r="AN10" s="8"/>
      <c r="AO10" s="8"/>
      <c r="AP10" s="16"/>
      <c r="AQ10" s="16"/>
      <c r="AR10" s="16"/>
      <c r="AS10" s="16"/>
      <c r="AT10" s="16"/>
      <c r="AU10" s="8"/>
      <c r="AV10" s="8"/>
      <c r="AW10" s="8"/>
      <c r="AZ10" s="36"/>
      <c r="BA10" s="36"/>
      <c r="BB10" s="36"/>
      <c r="BC10" s="36"/>
      <c r="BD10" s="36"/>
      <c r="BE10" s="36"/>
      <c r="BF10" s="36"/>
      <c r="BG10" s="36" t="s">
        <v>131</v>
      </c>
      <c r="BH10" s="36" t="s">
        <v>132</v>
      </c>
      <c r="BI10" s="36" t="s">
        <v>133</v>
      </c>
      <c r="BJ10" s="36" t="s">
        <v>42</v>
      </c>
      <c r="BK10" s="36"/>
      <c r="BL10" s="36"/>
      <c r="BM10" s="36"/>
      <c r="BN10" s="36"/>
      <c r="BO10" s="36"/>
      <c r="BP10" s="36"/>
    </row>
    <row r="11" spans="1:68" ht="15.75" thickBot="1" x14ac:dyDescent="0.3">
      <c r="A11" s="19" t="s">
        <v>22</v>
      </c>
      <c r="AZ11" s="36"/>
      <c r="BA11" s="36"/>
      <c r="BB11" s="36"/>
      <c r="BC11" s="36"/>
      <c r="BD11" s="36"/>
      <c r="BE11" s="36"/>
      <c r="BF11" s="36"/>
      <c r="BG11" s="36" t="str">
        <f ca="1">'Gruppe A'!BI40</f>
        <v>SG 07 Untertürkheim</v>
      </c>
      <c r="BH11" s="36" t="str">
        <f ca="1">'Gruppe B'!BI40</f>
        <v>TSV Uhlbach</v>
      </c>
      <c r="BI11" s="36" t="str">
        <f ca="1">'Gruppe C'!BI40</f>
        <v>TSV 1860 München</v>
      </c>
      <c r="BJ11" s="36" t="str">
        <f ca="1">'Gruppe D'!BI40</f>
        <v>Eintracht Frankfurt</v>
      </c>
      <c r="BK11" s="36"/>
      <c r="BL11" s="36"/>
      <c r="BM11" s="36"/>
      <c r="BN11" s="36"/>
      <c r="BO11" s="36"/>
      <c r="BP11" s="36"/>
    </row>
    <row r="12" spans="1:68" ht="16.5" thickBot="1" x14ac:dyDescent="0.3">
      <c r="A12" s="95" t="s">
        <v>35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7"/>
      <c r="X12" s="7"/>
      <c r="Y12" s="7"/>
      <c r="Z12" s="7"/>
      <c r="AA12" s="7"/>
      <c r="AB12" s="7"/>
      <c r="AC12" s="95" t="s">
        <v>36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9"/>
      <c r="AZ12" s="36"/>
      <c r="BA12" s="36"/>
      <c r="BB12" s="36"/>
      <c r="BC12" s="36"/>
      <c r="BD12" s="36"/>
      <c r="BE12" s="36"/>
      <c r="BF12" s="36"/>
      <c r="BG12" s="36" t="str">
        <f ca="1">'Gruppe A'!BI41</f>
        <v>Borussia Dortmund</v>
      </c>
      <c r="BH12" s="36" t="str">
        <f ca="1">'Gruppe B'!BI41</f>
        <v>Borussia Mönchengladbach</v>
      </c>
      <c r="BI12" s="36" t="str">
        <f ca="1">'Gruppe C'!BI41</f>
        <v>FV Löchgau</v>
      </c>
      <c r="BJ12" s="36" t="str">
        <f ca="1">'Gruppe D'!BI41</f>
        <v>SV Stuttgarter Kickers</v>
      </c>
      <c r="BK12" s="36"/>
      <c r="BL12" s="36"/>
      <c r="BM12" s="36"/>
      <c r="BN12" s="36"/>
      <c r="BO12" s="36"/>
      <c r="BP12" s="36"/>
    </row>
    <row r="13" spans="1:68" x14ac:dyDescent="0.25">
      <c r="A13" s="109" t="s">
        <v>4</v>
      </c>
      <c r="B13" s="99"/>
      <c r="C13" s="99" t="str">
        <f>IF((BG17=0),"4. Gruppe A",'Euro-Cup'!BG14)</f>
        <v>4. Gruppe A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AC13" s="109" t="s">
        <v>4</v>
      </c>
      <c r="AD13" s="99"/>
      <c r="AE13" s="99" t="str">
        <f>IF((BH17=0),"4. Gruppe B",'Euro-Cup'!BH14)</f>
        <v>4. Gruppe B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Z13" s="36"/>
      <c r="BA13" s="36"/>
      <c r="BB13" s="36"/>
      <c r="BC13" s="36"/>
      <c r="BD13" s="36"/>
      <c r="BE13" s="36"/>
      <c r="BF13" s="36"/>
      <c r="BG13" s="36" t="str">
        <f ca="1">'Gruppe A'!BI42</f>
        <v>SV Fellbach</v>
      </c>
      <c r="BH13" s="36" t="str">
        <f ca="1">'Gruppe B'!BI42</f>
        <v>TSV Wendlingen</v>
      </c>
      <c r="BI13" s="36" t="str">
        <f ca="1">'Gruppe C'!BI42</f>
        <v>TSG 1899 Hoffenheim</v>
      </c>
      <c r="BJ13" s="36" t="str">
        <f ca="1">'Gruppe D'!BI42</f>
        <v>VfR Heilbronn</v>
      </c>
      <c r="BK13" s="36"/>
      <c r="BL13" s="36"/>
      <c r="BM13" s="36"/>
      <c r="BN13" s="36"/>
      <c r="BO13" s="36"/>
      <c r="BP13" s="36"/>
    </row>
    <row r="14" spans="1:68" x14ac:dyDescent="0.25">
      <c r="A14" s="106" t="s">
        <v>5</v>
      </c>
      <c r="B14" s="101"/>
      <c r="C14" s="101" t="str">
        <f>IF((BH17=0),"5. Gruppe B",'Euro-Cup'!BH15)</f>
        <v>5. Gruppe B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AC14" s="106" t="s">
        <v>5</v>
      </c>
      <c r="AD14" s="101"/>
      <c r="AE14" s="101" t="str">
        <f>IF((BI17=0),"5. Gruppe C",'Euro-Cup'!BI15)</f>
        <v>5. Gruppe C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Z14" s="36"/>
      <c r="BA14" s="36"/>
      <c r="BB14" s="36"/>
      <c r="BC14" s="36"/>
      <c r="BD14" s="36"/>
      <c r="BE14" s="36"/>
      <c r="BF14" s="36"/>
      <c r="BG14" s="36" t="str">
        <f ca="1">'Gruppe A'!BI43</f>
        <v>SK Rapid Wien</v>
      </c>
      <c r="BH14" s="36" t="str">
        <f ca="1">'Gruppe B'!BI43</f>
        <v>Bayer 04 Leverkusen</v>
      </c>
      <c r="BI14" s="36" t="str">
        <f ca="1">'Gruppe C'!BI43</f>
        <v>1. FC Nürnberg</v>
      </c>
      <c r="BJ14" s="36" t="str">
        <f ca="1">'Gruppe D'!BI43</f>
        <v>1. FC Heidenheim</v>
      </c>
      <c r="BK14" s="36"/>
      <c r="BL14" s="36"/>
      <c r="BM14" s="36"/>
      <c r="BN14" s="36"/>
      <c r="BO14" s="36"/>
      <c r="BP14" s="36"/>
    </row>
    <row r="15" spans="1:68" ht="15.75" thickBot="1" x14ac:dyDescent="0.3">
      <c r="A15" s="105" t="s">
        <v>6</v>
      </c>
      <c r="B15" s="103"/>
      <c r="C15" s="103" t="str">
        <f>IF((BI17=0),"6. Gruppe C",'Euro-Cup'!BI16)</f>
        <v>6. Gruppe C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4"/>
      <c r="AC15" s="105" t="s">
        <v>6</v>
      </c>
      <c r="AD15" s="103"/>
      <c r="AE15" s="103" t="str">
        <f>IF((BJ17=0),"6. Gruppe D",'Euro-Cup'!BJ16)</f>
        <v>6. Gruppe D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Z15" s="36"/>
      <c r="BA15" s="36"/>
      <c r="BB15" s="36"/>
      <c r="BC15" s="36"/>
      <c r="BD15" s="36"/>
      <c r="BE15" s="36"/>
      <c r="BF15" s="36"/>
      <c r="BG15" s="36" t="str">
        <f ca="1">'Gruppe A'!BI44</f>
        <v>Fortuna Köln</v>
      </c>
      <c r="BH15" s="36" t="str">
        <f ca="1">'Gruppe B'!BI44</f>
        <v>FSV Waiblingen</v>
      </c>
      <c r="BI15" s="36" t="str">
        <f ca="1">'Gruppe C'!BI44</f>
        <v>TSF Ditzingen</v>
      </c>
      <c r="BJ15" s="36" t="str">
        <f ca="1">'Gruppe D'!BI44</f>
        <v>FC Augsburg</v>
      </c>
      <c r="BK15" s="36"/>
      <c r="BL15" s="36"/>
      <c r="BM15" s="36"/>
      <c r="BN15" s="36"/>
      <c r="BO15" s="36"/>
      <c r="BP15" s="36"/>
    </row>
    <row r="16" spans="1:68" ht="15.75" thickBo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Z16" s="36"/>
      <c r="BA16" s="36"/>
      <c r="BB16" s="36"/>
      <c r="BC16" s="36"/>
      <c r="BD16" s="36"/>
      <c r="BE16" s="36"/>
      <c r="BF16" s="36"/>
      <c r="BG16" s="36" t="str">
        <f ca="1">'Gruppe A'!BI45</f>
        <v>LASK Linz</v>
      </c>
      <c r="BH16" s="36" t="str">
        <f ca="1">'Gruppe B'!BI45</f>
        <v>Karlsruher SC</v>
      </c>
      <c r="BI16" s="36" t="str">
        <f ca="1">'Gruppe C'!BI45</f>
        <v>SV Vaihingen</v>
      </c>
      <c r="BJ16" s="36" t="str">
        <f ca="1">'Gruppe D'!BI45</f>
        <v>TB Untertürkheim</v>
      </c>
      <c r="BK16" s="36"/>
      <c r="BL16" s="36"/>
      <c r="BM16" s="36"/>
      <c r="BN16" s="36"/>
      <c r="BO16" s="36"/>
      <c r="BP16" s="36"/>
    </row>
    <row r="17" spans="1:68" ht="16.5" thickBot="1" x14ac:dyDescent="0.3">
      <c r="A17" s="95" t="s">
        <v>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7"/>
      <c r="X17" s="7"/>
      <c r="Y17" s="7"/>
      <c r="Z17" s="7"/>
      <c r="AA17" s="7"/>
      <c r="AB17" s="7"/>
      <c r="AC17" s="95" t="s">
        <v>38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  <c r="AZ17" s="36"/>
      <c r="BA17" s="36"/>
      <c r="BB17" s="36"/>
      <c r="BC17" s="36"/>
      <c r="BD17" s="36"/>
      <c r="BE17" s="36"/>
      <c r="BF17" s="36"/>
      <c r="BG17" s="36">
        <f>'Gruppe A'!BI46</f>
        <v>0</v>
      </c>
      <c r="BH17" s="36">
        <f>'Gruppe B'!BI46</f>
        <v>0</v>
      </c>
      <c r="BI17" s="36">
        <f>'Gruppe C'!BI46</f>
        <v>0</v>
      </c>
      <c r="BJ17" s="36">
        <f>'Gruppe D'!BI46</f>
        <v>0</v>
      </c>
      <c r="BK17" s="36"/>
      <c r="BL17" s="36"/>
      <c r="BM17" s="36"/>
      <c r="BN17" s="36"/>
      <c r="BO17" s="36"/>
      <c r="BP17" s="36"/>
    </row>
    <row r="18" spans="1:68" x14ac:dyDescent="0.25">
      <c r="A18" s="109" t="s">
        <v>4</v>
      </c>
      <c r="B18" s="99"/>
      <c r="C18" s="99" t="str">
        <f>IF((BI17=0),"4. Gruppe C",'Euro-Cup'!BI14)</f>
        <v>4. Gruppe C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AC18" s="109" t="s">
        <v>4</v>
      </c>
      <c r="AD18" s="99"/>
      <c r="AE18" s="99" t="str">
        <f>IF((BJ17=0),"4. Gruppe D",'Euro-Cup'!BJ14)</f>
        <v>4. Gruppe D</v>
      </c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x14ac:dyDescent="0.25">
      <c r="A19" s="106" t="s">
        <v>5</v>
      </c>
      <c r="B19" s="101"/>
      <c r="C19" s="101" t="str">
        <f>IF((BJ17=0),"5. Gruppe D",'Euro-Cup'!BJ15)</f>
        <v>5. Gruppe D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AC19" s="106" t="s">
        <v>5</v>
      </c>
      <c r="AD19" s="101"/>
      <c r="AE19" s="101" t="str">
        <f>IF((BG17=0),"5. Gruppe A",'Euro-Cup'!BG15)</f>
        <v>5. Gruppe A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68" ht="15.75" thickBot="1" x14ac:dyDescent="0.3">
      <c r="A20" s="105" t="s">
        <v>6</v>
      </c>
      <c r="B20" s="103"/>
      <c r="C20" s="103" t="str">
        <f>IF((BG17=0),"6. Gruppe A",'Euro-Cup'!BG16)</f>
        <v>6. Gruppe A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  <c r="AC20" s="105" t="s">
        <v>6</v>
      </c>
      <c r="AD20" s="103"/>
      <c r="AE20" s="103" t="str">
        <f>IF((BH17=0),"6. Gruppe B",'Euro-Cup'!BH16)</f>
        <v>6. Gruppe B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68" x14ac:dyDescent="0.25">
      <c r="AZ21" s="36"/>
      <c r="BA21" s="36"/>
      <c r="BB21" s="36"/>
      <c r="BC21" s="36"/>
      <c r="BD21" s="36"/>
      <c r="BE21" s="36"/>
      <c r="BF21" s="36">
        <f ca="1">IF(BL21&gt;BL22,1,0)+IF(BL21&gt;BL23,1,0)</f>
        <v>2</v>
      </c>
      <c r="BG21" s="36" t="str">
        <f>C13</f>
        <v>4. Gruppe A</v>
      </c>
      <c r="BH21" s="36">
        <f ca="1">SUMIF($I$24:$X$35,$BG21,$BA$24:$BA$35)+SUMIF($Z$24:$AO$35,$BG21,$BC$24:$BC$35)</f>
        <v>0</v>
      </c>
      <c r="BI21" s="36">
        <f ca="1">SUMIF($I$24:$X$35,$BG21,$AP$24:$AQ$35)+SUMIF($Z$24:$AO$35,$BG21,$AS$24:$AT$35)</f>
        <v>0</v>
      </c>
      <c r="BJ21" s="36">
        <f ca="1">SUMIF($I$24:$X$35,$BG21,$AS$24:$AT$35)+SUMIF($Z$24:$AO$35,$BG21,$AP$24:$AQ$35)</f>
        <v>0</v>
      </c>
      <c r="BK21" s="36">
        <f ca="1">BI21-BJ21</f>
        <v>0</v>
      </c>
      <c r="BL21" s="36">
        <f ca="1">$BH21*1000000+$BK21*10000+$BI21+0.3</f>
        <v>0.3</v>
      </c>
      <c r="BM21" s="36"/>
      <c r="BN21" s="36"/>
      <c r="BO21" s="36"/>
      <c r="BP21" s="36"/>
    </row>
    <row r="22" spans="1:68" ht="15.75" thickBot="1" x14ac:dyDescent="0.3">
      <c r="A22" s="19" t="s">
        <v>39</v>
      </c>
      <c r="AZ22" s="36"/>
      <c r="BA22" s="36"/>
      <c r="BB22" s="36"/>
      <c r="BC22" s="36"/>
      <c r="BD22" s="36"/>
      <c r="BE22" s="36"/>
      <c r="BF22" s="36">
        <f ca="1">IF(BL22&gt;BL23,1,0)+IF(BL22&gt;BL21,1,0)</f>
        <v>1</v>
      </c>
      <c r="BG22" s="36" t="str">
        <f>C14</f>
        <v>5. Gruppe B</v>
      </c>
      <c r="BH22" s="36">
        <f t="shared" ref="BH22:BH35" ca="1" si="0">SUMIF($I$24:$X$35,$BG22,$BA$24:$BA$35)+SUMIF($Z$24:$AO$35,$BG22,$BC$24:$BC$35)</f>
        <v>0</v>
      </c>
      <c r="BI22" s="36">
        <f t="shared" ref="BI22:BI35" ca="1" si="1">SUMIF($I$24:$X$35,$BG22,$AP$24:$AQ$35)+SUMIF($Z$24:$AO$35,$BG22,$AS$24:$AT$35)</f>
        <v>0</v>
      </c>
      <c r="BJ22" s="36">
        <f t="shared" ref="BJ22:BJ35" ca="1" si="2">SUMIF($I$24:$X$35,$BG22,$AS$24:$AT$35)+SUMIF($Z$24:$AO$35,$BG22,$AP$24:$AQ$35)</f>
        <v>0</v>
      </c>
      <c r="BK22" s="36">
        <f t="shared" ref="BK22:BK35" ca="1" si="3">BI22-BJ22</f>
        <v>0</v>
      </c>
      <c r="BL22" s="36">
        <f ca="1">$BH22*1000000+$BK22*10000+$BI22+0.2</f>
        <v>0.2</v>
      </c>
      <c r="BM22" s="36"/>
      <c r="BN22" s="36"/>
      <c r="BO22" s="36"/>
      <c r="BP22" s="36"/>
    </row>
    <row r="23" spans="1:68" ht="16.5" thickBot="1" x14ac:dyDescent="0.3">
      <c r="B23" s="115" t="s">
        <v>24</v>
      </c>
      <c r="C23" s="116"/>
      <c r="D23" s="116" t="s">
        <v>25</v>
      </c>
      <c r="E23" s="116"/>
      <c r="F23" s="116"/>
      <c r="G23" s="116"/>
      <c r="H23" s="116"/>
      <c r="I23" s="116" t="s">
        <v>26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 t="s">
        <v>27</v>
      </c>
      <c r="AQ23" s="116"/>
      <c r="AR23" s="116"/>
      <c r="AS23" s="116"/>
      <c r="AT23" s="116"/>
      <c r="AU23" s="117"/>
      <c r="AV23" s="96"/>
      <c r="AW23" s="97"/>
      <c r="AZ23" s="36"/>
      <c r="BA23" s="36"/>
      <c r="BB23" s="36"/>
      <c r="BC23" s="36"/>
      <c r="BD23" s="36"/>
      <c r="BE23" s="36"/>
      <c r="BF23" s="36">
        <f ca="1">IF(BL23&gt;BL21,1,0)+IF(BL23&gt;BL22,1,0)</f>
        <v>0</v>
      </c>
      <c r="BG23" s="36" t="str">
        <f>C15</f>
        <v>6. Gruppe C</v>
      </c>
      <c r="BH23" s="36">
        <f t="shared" ca="1" si="0"/>
        <v>0</v>
      </c>
      <c r="BI23" s="36">
        <f t="shared" ca="1" si="1"/>
        <v>0</v>
      </c>
      <c r="BJ23" s="36">
        <f t="shared" ca="1" si="2"/>
        <v>0</v>
      </c>
      <c r="BK23" s="36">
        <f t="shared" ca="1" si="3"/>
        <v>0</v>
      </c>
      <c r="BL23" s="36">
        <f ca="1">$BH23*1000000+$BK23*10000+$BI23+0.1</f>
        <v>0.1</v>
      </c>
      <c r="BM23" s="36"/>
      <c r="BN23" s="36"/>
      <c r="BO23" s="36"/>
      <c r="BP23" s="36"/>
    </row>
    <row r="24" spans="1:68" x14ac:dyDescent="0.25">
      <c r="B24" s="88">
        <v>1</v>
      </c>
      <c r="C24" s="79"/>
      <c r="D24" s="81">
        <f>G9</f>
        <v>0.375</v>
      </c>
      <c r="E24" s="79"/>
      <c r="F24" s="79"/>
      <c r="G24" s="79"/>
      <c r="H24" s="79"/>
      <c r="I24" s="113" t="str">
        <f>C13</f>
        <v>4. Gruppe A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5" t="s">
        <v>29</v>
      </c>
      <c r="Z24" s="79" t="str">
        <f>C14</f>
        <v>5. Gruppe B</v>
      </c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3" t="s">
        <v>28</v>
      </c>
      <c r="AS24" s="79"/>
      <c r="AT24" s="79"/>
      <c r="AU24" s="79"/>
      <c r="AV24" s="79"/>
      <c r="AW24" s="80"/>
      <c r="AZ24" s="36"/>
      <c r="BA24" s="36">
        <f>IF(ISBLANK($AP24),0,IF($AP24&gt;$AS24,3,IF($AP24=$AS24,1,0)))</f>
        <v>0</v>
      </c>
      <c r="BB24" s="36"/>
      <c r="BC24" s="36">
        <f>IF(ISBLANK($AS24),0,IF($AP24&lt;$AS24,3,IF($AP24=$AS24,1,0)))</f>
        <v>0</v>
      </c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ht="15.75" thickBot="1" x14ac:dyDescent="0.3">
      <c r="B25" s="73">
        <v>2</v>
      </c>
      <c r="C25" s="65"/>
      <c r="D25" s="87">
        <f>D24</f>
        <v>0.375</v>
      </c>
      <c r="E25" s="65"/>
      <c r="F25" s="65"/>
      <c r="G25" s="65"/>
      <c r="H25" s="65"/>
      <c r="I25" s="111" t="str">
        <f>AE13</f>
        <v>4. Gruppe B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20" t="s">
        <v>29</v>
      </c>
      <c r="Z25" s="65" t="str">
        <f>AE14</f>
        <v>5. Gruppe C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11" t="s">
        <v>28</v>
      </c>
      <c r="AS25" s="65"/>
      <c r="AT25" s="65"/>
      <c r="AU25" s="65"/>
      <c r="AV25" s="65"/>
      <c r="AW25" s="78"/>
      <c r="AZ25" s="36"/>
      <c r="BA25" s="36">
        <f t="shared" ref="BA25:BA35" si="4">IF(ISBLANK($AP25),0,IF($AP25&gt;$AS25,3,IF($AP25=$AS25,1,0)))</f>
        <v>0</v>
      </c>
      <c r="BB25" s="36"/>
      <c r="BC25" s="36">
        <f t="shared" ref="BC25:BC35" si="5">IF(ISBLANK($AS25),0,IF($AP25&lt;$AS25,3,IF($AP25=$AS25,1,0)))</f>
        <v>0</v>
      </c>
      <c r="BD25" s="36"/>
      <c r="BE25" s="36"/>
      <c r="BF25" s="36">
        <f ca="1">IF(BL25&gt;BL26,1,0)+IF(BL25&gt;BL27,1,0)</f>
        <v>2</v>
      </c>
      <c r="BG25" s="36" t="str">
        <f>AE13</f>
        <v>4. Gruppe B</v>
      </c>
      <c r="BH25" s="36">
        <f t="shared" ca="1" si="0"/>
        <v>0</v>
      </c>
      <c r="BI25" s="36">
        <f t="shared" ca="1" si="1"/>
        <v>0</v>
      </c>
      <c r="BJ25" s="36">
        <f t="shared" ca="1" si="2"/>
        <v>0</v>
      </c>
      <c r="BK25" s="36">
        <f t="shared" ca="1" si="3"/>
        <v>0</v>
      </c>
      <c r="BL25" s="36">
        <f ca="1">$BH25*1000000+$BK25*10000+$BI25+0.3</f>
        <v>0.3</v>
      </c>
      <c r="BM25" s="36"/>
      <c r="BN25" s="36"/>
      <c r="BO25" s="36"/>
      <c r="BP25" s="36"/>
    </row>
    <row r="26" spans="1:68" ht="15.75" thickBot="1" x14ac:dyDescent="0.3">
      <c r="B26" s="88">
        <v>1</v>
      </c>
      <c r="C26" s="79"/>
      <c r="D26" s="87">
        <f t="shared" ref="D26:D34" si="6">D25+$Y$9+$AP$9</f>
        <v>0.38263888888888886</v>
      </c>
      <c r="E26" s="65"/>
      <c r="F26" s="65"/>
      <c r="G26" s="65"/>
      <c r="H26" s="65"/>
      <c r="I26" s="113" t="str">
        <f>C18</f>
        <v>4. Gruppe C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5" t="s">
        <v>29</v>
      </c>
      <c r="Z26" s="79" t="str">
        <f>C19</f>
        <v>5. Gruppe D</v>
      </c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3" t="s">
        <v>28</v>
      </c>
      <c r="AS26" s="79"/>
      <c r="AT26" s="79"/>
      <c r="AU26" s="79"/>
      <c r="AV26" s="79"/>
      <c r="AW26" s="80"/>
      <c r="AZ26" s="36"/>
      <c r="BA26" s="36">
        <f t="shared" si="4"/>
        <v>0</v>
      </c>
      <c r="BB26" s="36"/>
      <c r="BC26" s="36">
        <f t="shared" si="5"/>
        <v>0</v>
      </c>
      <c r="BD26" s="36"/>
      <c r="BE26" s="36"/>
      <c r="BF26" s="36">
        <f ca="1">IF(BL26&gt;BL27,1,0)+IF(BL26&gt;BL25,1,0)</f>
        <v>1</v>
      </c>
      <c r="BG26" s="36" t="str">
        <f>AE14</f>
        <v>5. Gruppe C</v>
      </c>
      <c r="BH26" s="36">
        <f t="shared" ca="1" si="0"/>
        <v>0</v>
      </c>
      <c r="BI26" s="36">
        <f t="shared" ca="1" si="1"/>
        <v>0</v>
      </c>
      <c r="BJ26" s="36">
        <f t="shared" ca="1" si="2"/>
        <v>0</v>
      </c>
      <c r="BK26" s="36">
        <f t="shared" ca="1" si="3"/>
        <v>0</v>
      </c>
      <c r="BL26" s="36">
        <f ca="1">$BH26*1000000+$BK26*10000+$BI26+0.2</f>
        <v>0.2</v>
      </c>
      <c r="BM26" s="36"/>
      <c r="BN26" s="36"/>
      <c r="BO26" s="36"/>
      <c r="BP26" s="36"/>
    </row>
    <row r="27" spans="1:68" ht="15.75" thickBot="1" x14ac:dyDescent="0.3">
      <c r="B27" s="73">
        <v>2</v>
      </c>
      <c r="C27" s="65"/>
      <c r="D27" s="87">
        <f>D26</f>
        <v>0.38263888888888886</v>
      </c>
      <c r="E27" s="65"/>
      <c r="F27" s="65"/>
      <c r="G27" s="65"/>
      <c r="H27" s="65"/>
      <c r="I27" s="111" t="str">
        <f>AE18</f>
        <v>4. Gruppe D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20" t="s">
        <v>29</v>
      </c>
      <c r="Z27" s="65" t="str">
        <f>AE19</f>
        <v>5. Gruppe A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1" t="s">
        <v>28</v>
      </c>
      <c r="AS27" s="65"/>
      <c r="AT27" s="65"/>
      <c r="AU27" s="65"/>
      <c r="AV27" s="65"/>
      <c r="AW27" s="78"/>
      <c r="AZ27" s="36"/>
      <c r="BA27" s="36">
        <f t="shared" si="4"/>
        <v>0</v>
      </c>
      <c r="BB27" s="36"/>
      <c r="BC27" s="36">
        <f t="shared" si="5"/>
        <v>0</v>
      </c>
      <c r="BD27" s="36"/>
      <c r="BE27" s="36"/>
      <c r="BF27" s="36">
        <f ca="1">IF(BL27&gt;BL25,1,0)+IF(BL27&gt;BL26,1,0)</f>
        <v>0</v>
      </c>
      <c r="BG27" s="36" t="str">
        <f>AE15</f>
        <v>6. Gruppe D</v>
      </c>
      <c r="BH27" s="36">
        <f t="shared" ca="1" si="0"/>
        <v>0</v>
      </c>
      <c r="BI27" s="36">
        <f t="shared" ca="1" si="1"/>
        <v>0</v>
      </c>
      <c r="BJ27" s="36">
        <f t="shared" ca="1" si="2"/>
        <v>0</v>
      </c>
      <c r="BK27" s="36">
        <f t="shared" ca="1" si="3"/>
        <v>0</v>
      </c>
      <c r="BL27" s="36">
        <f t="shared" ref="BL27:BL35" ca="1" si="7">$BH27*1000000+$BK27*10000+$BI27+0.1</f>
        <v>0.1</v>
      </c>
      <c r="BM27" s="36"/>
      <c r="BN27" s="36"/>
      <c r="BO27" s="36"/>
      <c r="BP27" s="36"/>
    </row>
    <row r="28" spans="1:68" ht="15.75" thickBot="1" x14ac:dyDescent="0.3">
      <c r="B28" s="88">
        <v>1</v>
      </c>
      <c r="C28" s="79"/>
      <c r="D28" s="87">
        <f t="shared" si="6"/>
        <v>0.39027777777777772</v>
      </c>
      <c r="E28" s="65"/>
      <c r="F28" s="65"/>
      <c r="G28" s="65"/>
      <c r="H28" s="65"/>
      <c r="I28" s="113" t="str">
        <f>C15</f>
        <v>6. Gruppe C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5" t="s">
        <v>29</v>
      </c>
      <c r="Z28" s="79" t="str">
        <f>C13</f>
        <v>4. Gruppe A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3" t="s">
        <v>28</v>
      </c>
      <c r="AS28" s="79"/>
      <c r="AT28" s="79"/>
      <c r="AU28" s="79"/>
      <c r="AV28" s="79"/>
      <c r="AW28" s="80"/>
      <c r="AZ28" s="36"/>
      <c r="BA28" s="36">
        <f t="shared" si="4"/>
        <v>0</v>
      </c>
      <c r="BB28" s="36"/>
      <c r="BC28" s="36">
        <f t="shared" si="5"/>
        <v>0</v>
      </c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8" ht="15.75" thickBot="1" x14ac:dyDescent="0.3">
      <c r="B29" s="73">
        <v>2</v>
      </c>
      <c r="C29" s="65"/>
      <c r="D29" s="87">
        <f>D28</f>
        <v>0.39027777777777772</v>
      </c>
      <c r="E29" s="65"/>
      <c r="F29" s="65"/>
      <c r="G29" s="65"/>
      <c r="H29" s="65"/>
      <c r="I29" s="111" t="str">
        <f>AE15</f>
        <v>6. Gruppe D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20" t="s">
        <v>29</v>
      </c>
      <c r="Z29" s="65" t="str">
        <f>AE13</f>
        <v>4. Gruppe B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11" t="s">
        <v>28</v>
      </c>
      <c r="AS29" s="65"/>
      <c r="AT29" s="65"/>
      <c r="AU29" s="65"/>
      <c r="AV29" s="65"/>
      <c r="AW29" s="78"/>
      <c r="AZ29" s="36"/>
      <c r="BA29" s="36">
        <f t="shared" si="4"/>
        <v>0</v>
      </c>
      <c r="BB29" s="36"/>
      <c r="BC29" s="36">
        <f t="shared" si="5"/>
        <v>0</v>
      </c>
      <c r="BD29" s="36"/>
      <c r="BE29" s="36"/>
      <c r="BF29" s="36">
        <f ca="1">IF(BL29&gt;BL30,1,0)+IF(BL29&gt;BL31,1,0)</f>
        <v>2</v>
      </c>
      <c r="BG29" s="36" t="str">
        <f>C18</f>
        <v>4. Gruppe C</v>
      </c>
      <c r="BH29" s="36">
        <f t="shared" ca="1" si="0"/>
        <v>0</v>
      </c>
      <c r="BI29" s="36">
        <f t="shared" ca="1" si="1"/>
        <v>0</v>
      </c>
      <c r="BJ29" s="36">
        <f t="shared" ca="1" si="2"/>
        <v>0</v>
      </c>
      <c r="BK29" s="36">
        <f t="shared" ca="1" si="3"/>
        <v>0</v>
      </c>
      <c r="BL29" s="36">
        <f ca="1">$BH29*1000000+$BK29*10000+$BI29+0.3</f>
        <v>0.3</v>
      </c>
      <c r="BM29" s="36"/>
      <c r="BN29" s="36"/>
      <c r="BO29" s="36"/>
      <c r="BP29" s="36"/>
    </row>
    <row r="30" spans="1:68" ht="15.75" thickBot="1" x14ac:dyDescent="0.3">
      <c r="B30" s="88">
        <v>1</v>
      </c>
      <c r="C30" s="79"/>
      <c r="D30" s="87">
        <f t="shared" si="6"/>
        <v>0.39791666666666659</v>
      </c>
      <c r="E30" s="65"/>
      <c r="F30" s="65"/>
      <c r="G30" s="65"/>
      <c r="H30" s="65"/>
      <c r="I30" s="113" t="str">
        <f>C20</f>
        <v>6. Gruppe A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5" t="s">
        <v>29</v>
      </c>
      <c r="Z30" s="79" t="str">
        <f>C18</f>
        <v>4. Gruppe C</v>
      </c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3" t="s">
        <v>28</v>
      </c>
      <c r="AS30" s="79"/>
      <c r="AT30" s="79"/>
      <c r="AU30" s="79"/>
      <c r="AV30" s="79"/>
      <c r="AW30" s="80"/>
      <c r="AZ30" s="36"/>
      <c r="BA30" s="36">
        <f t="shared" si="4"/>
        <v>0</v>
      </c>
      <c r="BB30" s="36"/>
      <c r="BC30" s="36">
        <f t="shared" si="5"/>
        <v>0</v>
      </c>
      <c r="BD30" s="36"/>
      <c r="BE30" s="36"/>
      <c r="BF30" s="36">
        <f ca="1">IF(BL30&gt;BL31,1,0)+IF(BL30&gt;BL29,1,0)</f>
        <v>1</v>
      </c>
      <c r="BG30" s="36" t="str">
        <f>C19</f>
        <v>5. Gruppe D</v>
      </c>
      <c r="BH30" s="36">
        <f t="shared" ca="1" si="0"/>
        <v>0</v>
      </c>
      <c r="BI30" s="36">
        <f t="shared" ca="1" si="1"/>
        <v>0</v>
      </c>
      <c r="BJ30" s="36">
        <f t="shared" ca="1" si="2"/>
        <v>0</v>
      </c>
      <c r="BK30" s="36">
        <f t="shared" ca="1" si="3"/>
        <v>0</v>
      </c>
      <c r="BL30" s="36">
        <f ca="1">$BH30*1000000+$BK30*10000+$BI30+0.2</f>
        <v>0.2</v>
      </c>
      <c r="BM30" s="36"/>
      <c r="BN30" s="36"/>
      <c r="BO30" s="36"/>
      <c r="BP30" s="36"/>
    </row>
    <row r="31" spans="1:68" ht="15.75" thickBot="1" x14ac:dyDescent="0.3">
      <c r="B31" s="73">
        <v>2</v>
      </c>
      <c r="C31" s="65"/>
      <c r="D31" s="87">
        <f>D30</f>
        <v>0.39791666666666659</v>
      </c>
      <c r="E31" s="65"/>
      <c r="F31" s="65"/>
      <c r="G31" s="65"/>
      <c r="H31" s="65"/>
      <c r="I31" s="111" t="str">
        <f>AE20</f>
        <v>6. Gruppe B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20" t="s">
        <v>29</v>
      </c>
      <c r="Z31" s="65" t="str">
        <f>AE18</f>
        <v>4. Gruppe D</v>
      </c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11" t="s">
        <v>28</v>
      </c>
      <c r="AS31" s="65"/>
      <c r="AT31" s="65"/>
      <c r="AU31" s="65"/>
      <c r="AV31" s="65"/>
      <c r="AW31" s="78"/>
      <c r="AZ31" s="36"/>
      <c r="BA31" s="36">
        <f t="shared" si="4"/>
        <v>0</v>
      </c>
      <c r="BB31" s="36"/>
      <c r="BC31" s="36">
        <f t="shared" si="5"/>
        <v>0</v>
      </c>
      <c r="BD31" s="36"/>
      <c r="BE31" s="36"/>
      <c r="BF31" s="36">
        <f ca="1">IF(BL31&gt;BL29,1,0)+IF(BL31&gt;BL30,1,0)</f>
        <v>0</v>
      </c>
      <c r="BG31" s="36" t="str">
        <f>C20</f>
        <v>6. Gruppe A</v>
      </c>
      <c r="BH31" s="36">
        <f t="shared" ca="1" si="0"/>
        <v>0</v>
      </c>
      <c r="BI31" s="36">
        <f t="shared" ca="1" si="1"/>
        <v>0</v>
      </c>
      <c r="BJ31" s="36">
        <f t="shared" ca="1" si="2"/>
        <v>0</v>
      </c>
      <c r="BK31" s="36">
        <f t="shared" ca="1" si="3"/>
        <v>0</v>
      </c>
      <c r="BL31" s="36">
        <f ca="1">$BH31*1000000+$BK31*10000+$BI31+0.1</f>
        <v>0.1</v>
      </c>
      <c r="BM31" s="36"/>
      <c r="BN31" s="36"/>
      <c r="BO31" s="36"/>
      <c r="BP31" s="36"/>
    </row>
    <row r="32" spans="1:68" ht="15.75" thickBot="1" x14ac:dyDescent="0.3">
      <c r="B32" s="88">
        <v>1</v>
      </c>
      <c r="C32" s="79"/>
      <c r="D32" s="87">
        <f t="shared" si="6"/>
        <v>0.40555555555555545</v>
      </c>
      <c r="E32" s="65"/>
      <c r="F32" s="65"/>
      <c r="G32" s="65"/>
      <c r="H32" s="65"/>
      <c r="I32" s="113" t="str">
        <f>C14</f>
        <v>5. Gruppe B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5" t="s">
        <v>29</v>
      </c>
      <c r="Z32" s="79" t="str">
        <f>C15</f>
        <v>6. Gruppe C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3" t="s">
        <v>28</v>
      </c>
      <c r="AS32" s="79"/>
      <c r="AT32" s="79"/>
      <c r="AU32" s="79"/>
      <c r="AV32" s="79"/>
      <c r="AW32" s="80"/>
      <c r="AZ32" s="36"/>
      <c r="BA32" s="36">
        <f t="shared" si="4"/>
        <v>0</v>
      </c>
      <c r="BB32" s="36"/>
      <c r="BC32" s="36">
        <f t="shared" si="5"/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15.75" thickBot="1" x14ac:dyDescent="0.3">
      <c r="B33" s="73">
        <v>2</v>
      </c>
      <c r="C33" s="65"/>
      <c r="D33" s="87">
        <f>D32</f>
        <v>0.40555555555555545</v>
      </c>
      <c r="E33" s="65"/>
      <c r="F33" s="65"/>
      <c r="G33" s="65"/>
      <c r="H33" s="65"/>
      <c r="I33" s="111" t="str">
        <f>AE14</f>
        <v>5. Gruppe C</v>
      </c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20" t="s">
        <v>29</v>
      </c>
      <c r="Z33" s="65" t="str">
        <f>AE15</f>
        <v>6. Gruppe D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1" t="s">
        <v>28</v>
      </c>
      <c r="AS33" s="65"/>
      <c r="AT33" s="65"/>
      <c r="AU33" s="65"/>
      <c r="AV33" s="65"/>
      <c r="AW33" s="78"/>
      <c r="AZ33" s="36"/>
      <c r="BA33" s="36">
        <f t="shared" si="4"/>
        <v>0</v>
      </c>
      <c r="BB33" s="36"/>
      <c r="BC33" s="36">
        <f t="shared" si="5"/>
        <v>0</v>
      </c>
      <c r="BD33" s="36"/>
      <c r="BE33" s="36"/>
      <c r="BF33" s="36">
        <f ca="1">IF(BL33&gt;BL34,1,0)+IF(BL33&gt;BL35,1,0)</f>
        <v>2</v>
      </c>
      <c r="BG33" s="36" t="str">
        <f>AE18</f>
        <v>4. Gruppe D</v>
      </c>
      <c r="BH33" s="36">
        <f t="shared" ca="1" si="0"/>
        <v>0</v>
      </c>
      <c r="BI33" s="36">
        <f t="shared" ca="1" si="1"/>
        <v>0</v>
      </c>
      <c r="BJ33" s="36">
        <f t="shared" ca="1" si="2"/>
        <v>0</v>
      </c>
      <c r="BK33" s="36">
        <f t="shared" ca="1" si="3"/>
        <v>0</v>
      </c>
      <c r="BL33" s="36">
        <f ca="1">$BH33*1000000+$BK33*10000+$BI33+0.3</f>
        <v>0.3</v>
      </c>
      <c r="BM33" s="36"/>
      <c r="BN33" s="36"/>
      <c r="BO33" s="36"/>
      <c r="BP33" s="36"/>
    </row>
    <row r="34" spans="1:68" ht="15.75" thickBot="1" x14ac:dyDescent="0.3">
      <c r="B34" s="88">
        <v>1</v>
      </c>
      <c r="C34" s="79"/>
      <c r="D34" s="87">
        <f t="shared" si="6"/>
        <v>0.41319444444444431</v>
      </c>
      <c r="E34" s="65"/>
      <c r="F34" s="65"/>
      <c r="G34" s="65"/>
      <c r="H34" s="65"/>
      <c r="I34" s="113" t="str">
        <f>C19</f>
        <v>5. Gruppe D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5" t="s">
        <v>29</v>
      </c>
      <c r="Z34" s="79" t="str">
        <f>C20</f>
        <v>6. Gruppe A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3" t="s">
        <v>28</v>
      </c>
      <c r="AS34" s="79"/>
      <c r="AT34" s="79"/>
      <c r="AU34" s="79"/>
      <c r="AV34" s="79"/>
      <c r="AW34" s="80"/>
      <c r="AZ34" s="36"/>
      <c r="BA34" s="36">
        <f t="shared" si="4"/>
        <v>0</v>
      </c>
      <c r="BB34" s="36"/>
      <c r="BC34" s="36">
        <f t="shared" si="5"/>
        <v>0</v>
      </c>
      <c r="BD34" s="36"/>
      <c r="BE34" s="36"/>
      <c r="BF34" s="36">
        <f ca="1">IF(BL34&gt;BL35,1,0)+IF(BL34&gt;BL33,1,0)</f>
        <v>1</v>
      </c>
      <c r="BG34" s="36" t="str">
        <f>AE19</f>
        <v>5. Gruppe A</v>
      </c>
      <c r="BH34" s="36">
        <f t="shared" ca="1" si="0"/>
        <v>0</v>
      </c>
      <c r="BI34" s="36">
        <f t="shared" ca="1" si="1"/>
        <v>0</v>
      </c>
      <c r="BJ34" s="36">
        <f t="shared" ca="1" si="2"/>
        <v>0</v>
      </c>
      <c r="BK34" s="36">
        <f t="shared" ca="1" si="3"/>
        <v>0</v>
      </c>
      <c r="BL34" s="36">
        <f ca="1">$BH34*1000000+$BK34*10000+$BI34+0.2</f>
        <v>0.2</v>
      </c>
      <c r="BM34" s="36"/>
      <c r="BN34" s="36"/>
      <c r="BO34" s="36"/>
      <c r="BP34" s="36"/>
    </row>
    <row r="35" spans="1:68" ht="15.75" thickBot="1" x14ac:dyDescent="0.3">
      <c r="B35" s="73">
        <v>2</v>
      </c>
      <c r="C35" s="65"/>
      <c r="D35" s="87">
        <f>D34</f>
        <v>0.41319444444444431</v>
      </c>
      <c r="E35" s="65"/>
      <c r="F35" s="65"/>
      <c r="G35" s="65"/>
      <c r="H35" s="65"/>
      <c r="I35" s="111" t="str">
        <f>AE19</f>
        <v>5. Gruppe A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20" t="s">
        <v>29</v>
      </c>
      <c r="Z35" s="65" t="str">
        <f>AE20</f>
        <v>6. Gruppe B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11" t="s">
        <v>28</v>
      </c>
      <c r="AS35" s="65"/>
      <c r="AT35" s="65"/>
      <c r="AU35" s="65"/>
      <c r="AV35" s="65"/>
      <c r="AW35" s="78"/>
      <c r="AZ35" s="36"/>
      <c r="BA35" s="36">
        <f t="shared" si="4"/>
        <v>0</v>
      </c>
      <c r="BB35" s="36"/>
      <c r="BC35" s="36">
        <f t="shared" si="5"/>
        <v>0</v>
      </c>
      <c r="BD35" s="36"/>
      <c r="BE35" s="36"/>
      <c r="BF35" s="36">
        <f ca="1">IF(BL35&gt;BL33,1,0)+IF(BL35&gt;BL34,1,0)</f>
        <v>0</v>
      </c>
      <c r="BG35" s="36" t="str">
        <f>AE20</f>
        <v>6. Gruppe B</v>
      </c>
      <c r="BH35" s="36">
        <f t="shared" ca="1" si="0"/>
        <v>0</v>
      </c>
      <c r="BI35" s="36">
        <f t="shared" ca="1" si="1"/>
        <v>0</v>
      </c>
      <c r="BJ35" s="36">
        <f t="shared" ca="1" si="2"/>
        <v>0</v>
      </c>
      <c r="BK35" s="36">
        <f t="shared" ca="1" si="3"/>
        <v>0</v>
      </c>
      <c r="BL35" s="36">
        <f t="shared" ca="1" si="7"/>
        <v>0.1</v>
      </c>
      <c r="BM35" s="36"/>
      <c r="BN35" s="36"/>
      <c r="BO35" s="36"/>
      <c r="BP35" s="36"/>
    </row>
    <row r="36" spans="1:68" x14ac:dyDescent="0.25">
      <c r="B36" s="24"/>
      <c r="C36" s="24"/>
      <c r="D36" s="25"/>
      <c r="E36" s="24"/>
      <c r="F36" s="24"/>
      <c r="G36" s="24"/>
      <c r="H36" s="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AS36" s="24"/>
      <c r="AT36" s="24"/>
      <c r="AU36" s="24"/>
      <c r="AV36" s="24"/>
      <c r="AW36" s="24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.75" thickBot="1" x14ac:dyDescent="0.3">
      <c r="A37" s="19" t="s">
        <v>40</v>
      </c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15.75" thickBot="1" x14ac:dyDescent="0.3">
      <c r="A38" s="110" t="s">
        <v>35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99" t="s">
        <v>41</v>
      </c>
      <c r="Q38" s="99"/>
      <c r="R38" s="99" t="s">
        <v>31</v>
      </c>
      <c r="S38" s="99"/>
      <c r="T38" s="99"/>
      <c r="U38" s="99"/>
      <c r="V38" s="99"/>
      <c r="W38" s="107" t="s">
        <v>42</v>
      </c>
      <c r="X38" s="108"/>
      <c r="Y38" s="21"/>
      <c r="Z38" s="21"/>
      <c r="AA38" s="110" t="s">
        <v>36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 t="s">
        <v>41</v>
      </c>
      <c r="AQ38" s="107"/>
      <c r="AR38" s="107" t="s">
        <v>31</v>
      </c>
      <c r="AS38" s="107"/>
      <c r="AT38" s="107"/>
      <c r="AU38" s="107"/>
      <c r="AV38" s="107"/>
      <c r="AW38" s="107" t="s">
        <v>42</v>
      </c>
      <c r="AX38" s="108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x14ac:dyDescent="0.25">
      <c r="A39" s="109" t="s">
        <v>4</v>
      </c>
      <c r="B39" s="99"/>
      <c r="C39" s="99" t="str">
        <f ca="1">VLOOKUP(2,BF21:BL23,2,FALSE)</f>
        <v>4. Gruppe A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109">
        <f ca="1">VLOOKUP(2,BF21:BL23,3,FALSE)</f>
        <v>0</v>
      </c>
      <c r="Q39" s="100"/>
      <c r="R39" s="99">
        <f ca="1">VLOOKUP(2,BF21:BL23,4,FALSE)</f>
        <v>0</v>
      </c>
      <c r="S39" s="99"/>
      <c r="T39" s="22" t="s">
        <v>28</v>
      </c>
      <c r="U39" s="99">
        <f ca="1">VLOOKUP(2,BF21:BL23,5,FALSE)</f>
        <v>0</v>
      </c>
      <c r="V39" s="100"/>
      <c r="W39" s="109">
        <f ca="1">R39-U39</f>
        <v>0</v>
      </c>
      <c r="X39" s="100"/>
      <c r="Y39" s="21"/>
      <c r="Z39" s="21"/>
      <c r="AA39" s="109" t="s">
        <v>4</v>
      </c>
      <c r="AB39" s="99"/>
      <c r="AC39" s="99" t="str">
        <f ca="1">VLOOKUP(2,BF25:BL27,2,FALSE)</f>
        <v>4. Gruppe B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00"/>
      <c r="AP39" s="109">
        <f ca="1">VLOOKUP(2,BF25:BL27,3,FALSE)</f>
        <v>0</v>
      </c>
      <c r="AQ39" s="100"/>
      <c r="AR39" s="109">
        <f ca="1">VLOOKUP(2,BF25:BL27,4,FALSE)</f>
        <v>0</v>
      </c>
      <c r="AS39" s="99"/>
      <c r="AT39" s="22" t="s">
        <v>28</v>
      </c>
      <c r="AU39" s="99">
        <f ca="1">VLOOKUP(2,BF25:BL27,5,FALSE)</f>
        <v>0</v>
      </c>
      <c r="AV39" s="100"/>
      <c r="AW39" s="109">
        <f ca="1">AR39-AU39</f>
        <v>0</v>
      </c>
      <c r="AX39" s="100"/>
    </row>
    <row r="40" spans="1:68" x14ac:dyDescent="0.25">
      <c r="A40" s="106" t="s">
        <v>5</v>
      </c>
      <c r="B40" s="101"/>
      <c r="C40" s="101" t="str">
        <f ca="1">VLOOKUP(1,BF21:BL23,2,FALSE)</f>
        <v>5. Gruppe B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6">
        <f ca="1">VLOOKUP(1,BF21:BL23,3,FALSE)</f>
        <v>0</v>
      </c>
      <c r="Q40" s="102"/>
      <c r="R40" s="101">
        <f ca="1">VLOOKUP(1,BF21:BL23,4,FALSE)</f>
        <v>0</v>
      </c>
      <c r="S40" s="101"/>
      <c r="T40" t="s">
        <v>28</v>
      </c>
      <c r="U40" s="101">
        <f ca="1">VLOOKUP(1,BF21:BL23,5,FALSE)</f>
        <v>0</v>
      </c>
      <c r="V40" s="102"/>
      <c r="W40" s="106">
        <f ca="1">R40-U40</f>
        <v>0</v>
      </c>
      <c r="X40" s="102"/>
      <c r="Y40" s="21"/>
      <c r="Z40" s="21"/>
      <c r="AA40" s="106" t="s">
        <v>5</v>
      </c>
      <c r="AB40" s="101"/>
      <c r="AC40" s="101" t="str">
        <f ca="1">VLOOKUP(1,BF25:BL27,2,FALSE)</f>
        <v>5. Gruppe C</v>
      </c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2"/>
      <c r="AP40" s="106">
        <f ca="1">VLOOKUP(1,BF25:BL27,3,FALSE)</f>
        <v>0</v>
      </c>
      <c r="AQ40" s="102"/>
      <c r="AR40" s="106">
        <f ca="1">VLOOKUP(1,BF25:BL27,4,FALSE)</f>
        <v>0</v>
      </c>
      <c r="AS40" s="101"/>
      <c r="AT40" t="s">
        <v>28</v>
      </c>
      <c r="AU40" s="101">
        <f ca="1">VLOOKUP(1,BF25:BL27,5,FALSE)</f>
        <v>0</v>
      </c>
      <c r="AV40" s="102"/>
      <c r="AW40" s="106">
        <f ca="1">AR40-AU40</f>
        <v>0</v>
      </c>
      <c r="AX40" s="102"/>
    </row>
    <row r="41" spans="1:68" ht="15.75" thickBot="1" x14ac:dyDescent="0.3">
      <c r="A41" s="105" t="s">
        <v>6</v>
      </c>
      <c r="B41" s="103"/>
      <c r="C41" s="103" t="str">
        <f ca="1">VLOOKUP(0,BF21:BL23,2,FALSE)</f>
        <v>6. Gruppe C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5">
        <f ca="1">VLOOKUP(0,BF21:BL23,3,FALSE)</f>
        <v>0</v>
      </c>
      <c r="Q41" s="104"/>
      <c r="R41" s="103">
        <f ca="1">VLOOKUP(0,BF21:BL23,4,FALSE)</f>
        <v>0</v>
      </c>
      <c r="S41" s="103"/>
      <c r="T41" s="23" t="s">
        <v>28</v>
      </c>
      <c r="U41" s="103">
        <f ca="1">VLOOKUP(0,BF21:BL23,5,FALSE)</f>
        <v>0</v>
      </c>
      <c r="V41" s="104"/>
      <c r="W41" s="105">
        <f ca="1">R41-U41</f>
        <v>0</v>
      </c>
      <c r="X41" s="104"/>
      <c r="Y41" s="21"/>
      <c r="Z41" s="21"/>
      <c r="AA41" s="105" t="s">
        <v>6</v>
      </c>
      <c r="AB41" s="103"/>
      <c r="AC41" s="103" t="str">
        <f ca="1">VLOOKUP(0,BF25:BL27,2,FALSE)</f>
        <v>6. Gruppe D</v>
      </c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4"/>
      <c r="AP41" s="105">
        <f ca="1">VLOOKUP(0,BF25:BL27,3,FALSE)</f>
        <v>0</v>
      </c>
      <c r="AQ41" s="104"/>
      <c r="AR41" s="105">
        <f ca="1">VLOOKUP(0,BF25:BL27,4,FALSE)</f>
        <v>0</v>
      </c>
      <c r="AS41" s="103"/>
      <c r="AT41" s="23" t="s">
        <v>28</v>
      </c>
      <c r="AU41" s="103">
        <f ca="1">VLOOKUP(0,BF25:BL27,5,FALSE)</f>
        <v>0</v>
      </c>
      <c r="AV41" s="104"/>
      <c r="AW41" s="105">
        <f ca="1">AR41-AU41</f>
        <v>0</v>
      </c>
      <c r="AX41" s="104"/>
    </row>
    <row r="42" spans="1:68" ht="15.7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68" ht="15.75" thickBot="1" x14ac:dyDescent="0.3">
      <c r="A43" s="110" t="s">
        <v>37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 t="s">
        <v>41</v>
      </c>
      <c r="Q43" s="107"/>
      <c r="R43" s="107" t="s">
        <v>31</v>
      </c>
      <c r="S43" s="107"/>
      <c r="T43" s="107"/>
      <c r="U43" s="107"/>
      <c r="V43" s="107"/>
      <c r="W43" s="107" t="s">
        <v>42</v>
      </c>
      <c r="X43" s="108"/>
      <c r="Y43" s="21"/>
      <c r="Z43" s="21"/>
      <c r="AA43" s="110" t="s">
        <v>38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 t="s">
        <v>41</v>
      </c>
      <c r="AQ43" s="107"/>
      <c r="AR43" s="107" t="s">
        <v>31</v>
      </c>
      <c r="AS43" s="107"/>
      <c r="AT43" s="107"/>
      <c r="AU43" s="107"/>
      <c r="AV43" s="107"/>
      <c r="AW43" s="107" t="s">
        <v>42</v>
      </c>
      <c r="AX43" s="108"/>
    </row>
    <row r="44" spans="1:68" x14ac:dyDescent="0.25">
      <c r="A44" s="109" t="s">
        <v>4</v>
      </c>
      <c r="B44" s="99"/>
      <c r="C44" s="99" t="str">
        <f ca="1">VLOOKUP(2,BF29:BL31,2,FALSE)</f>
        <v>4. Gruppe C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P44" s="109">
        <f ca="1">VLOOKUP(2,BF29:BL31,3,FALSE)</f>
        <v>0</v>
      </c>
      <c r="Q44" s="100"/>
      <c r="R44" s="99">
        <f ca="1">VLOOKUP(2,BF29:BL31,4,FALSE)</f>
        <v>0</v>
      </c>
      <c r="S44" s="99"/>
      <c r="T44" s="22" t="s">
        <v>28</v>
      </c>
      <c r="U44" s="99">
        <f ca="1">VLOOKUP(2,BF29:BL31,5,FALSE)</f>
        <v>0</v>
      </c>
      <c r="V44" s="100"/>
      <c r="W44" s="109">
        <f ca="1">R44-U44</f>
        <v>0</v>
      </c>
      <c r="X44" s="100"/>
      <c r="Y44" s="21"/>
      <c r="Z44" s="21"/>
      <c r="AA44" s="109" t="s">
        <v>4</v>
      </c>
      <c r="AB44" s="99"/>
      <c r="AC44" s="99" t="str">
        <f ca="1">VLOOKUP(2,BF33:BL35,2,FALSE)</f>
        <v>4. Gruppe D</v>
      </c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109">
        <f ca="1">VLOOKUP(2,BF33:BL35,3,FALSE)</f>
        <v>0</v>
      </c>
      <c r="AQ44" s="100"/>
      <c r="AR44" s="99">
        <f ca="1">VLOOKUP(2,BF33:BL35,4,FALSE)</f>
        <v>0</v>
      </c>
      <c r="AS44" s="99"/>
      <c r="AT44" s="22" t="s">
        <v>28</v>
      </c>
      <c r="AU44" s="99">
        <f ca="1">VLOOKUP(2,BF33:BL35,5,FALSE)</f>
        <v>0</v>
      </c>
      <c r="AV44" s="100"/>
      <c r="AW44" s="109">
        <f ca="1">AR44-AU44</f>
        <v>0</v>
      </c>
      <c r="AX44" s="100"/>
    </row>
    <row r="45" spans="1:68" x14ac:dyDescent="0.25">
      <c r="A45" s="106" t="s">
        <v>5</v>
      </c>
      <c r="B45" s="101"/>
      <c r="C45" s="101" t="str">
        <f ca="1">VLOOKUP(1,BF29:BL31,2,FALSE)</f>
        <v>5. Gruppe D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  <c r="P45" s="106">
        <f ca="1">VLOOKUP(1,BF29:BL31,3,FALSE)</f>
        <v>0</v>
      </c>
      <c r="Q45" s="102"/>
      <c r="R45" s="101">
        <f ca="1">VLOOKUP(1,BF29:BL31,4,FALSE)</f>
        <v>0</v>
      </c>
      <c r="S45" s="101"/>
      <c r="T45" t="s">
        <v>28</v>
      </c>
      <c r="U45" s="101">
        <f ca="1">VLOOKUP(1,BF29:BL31,5,FALSE)</f>
        <v>0</v>
      </c>
      <c r="V45" s="102"/>
      <c r="W45" s="106">
        <f ca="1">R45-U45</f>
        <v>0</v>
      </c>
      <c r="X45" s="102"/>
      <c r="Y45" s="21"/>
      <c r="Z45" s="21"/>
      <c r="AA45" s="106" t="s">
        <v>5</v>
      </c>
      <c r="AB45" s="101"/>
      <c r="AC45" s="101" t="str">
        <f ca="1">VLOOKUP(1,BF33:BL35,2,FALSE)</f>
        <v>5. Gruppe A</v>
      </c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6">
        <f ca="1">VLOOKUP(1,BF33:BL35,3,FALSE)</f>
        <v>0</v>
      </c>
      <c r="AQ45" s="102"/>
      <c r="AR45" s="101">
        <f ca="1">VLOOKUP(1,BF33:BL35,4,FALSE)</f>
        <v>0</v>
      </c>
      <c r="AS45" s="101"/>
      <c r="AT45" t="s">
        <v>28</v>
      </c>
      <c r="AU45" s="101">
        <f ca="1">VLOOKUP(1,BF33:BL35,5,FALSE)</f>
        <v>0</v>
      </c>
      <c r="AV45" s="102"/>
      <c r="AW45" s="106">
        <f ca="1">AR45-AU45</f>
        <v>0</v>
      </c>
      <c r="AX45" s="102"/>
    </row>
    <row r="46" spans="1:68" ht="15.75" thickBot="1" x14ac:dyDescent="0.3">
      <c r="A46" s="105" t="s">
        <v>6</v>
      </c>
      <c r="B46" s="103"/>
      <c r="C46" s="103" t="str">
        <f ca="1">VLOOKUP(0,BF29:BL31,2,FALSE)</f>
        <v>6. Gruppe A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105">
        <f ca="1">VLOOKUP(0,BF29:BL31,3,FALSE)</f>
        <v>0</v>
      </c>
      <c r="Q46" s="104"/>
      <c r="R46" s="103">
        <f ca="1">VLOOKUP(0,BF29:BL31,4,FALSE)</f>
        <v>0</v>
      </c>
      <c r="S46" s="103"/>
      <c r="T46" s="23" t="s">
        <v>28</v>
      </c>
      <c r="U46" s="103">
        <f ca="1">VLOOKUP(0,BF29:BL31,5,FALSE)</f>
        <v>0</v>
      </c>
      <c r="V46" s="104"/>
      <c r="W46" s="105">
        <f ca="1">R46-U46</f>
        <v>0</v>
      </c>
      <c r="X46" s="104"/>
      <c r="Y46" s="21"/>
      <c r="Z46" s="21"/>
      <c r="AA46" s="105" t="s">
        <v>6</v>
      </c>
      <c r="AB46" s="103"/>
      <c r="AC46" s="103" t="str">
        <f ca="1">VLOOKUP(0,BF33:BL35,2,FALSE)</f>
        <v>6. Gruppe B</v>
      </c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4"/>
      <c r="AP46" s="105">
        <f ca="1">VLOOKUP(0,BF33:BL35,3,FALSE)</f>
        <v>0</v>
      </c>
      <c r="AQ46" s="104"/>
      <c r="AR46" s="103">
        <f ca="1">VLOOKUP(0,BF33:BL35,4,FALSE)</f>
        <v>0</v>
      </c>
      <c r="AS46" s="103"/>
      <c r="AT46" s="23" t="s">
        <v>28</v>
      </c>
      <c r="AU46" s="103">
        <f ca="1">VLOOKUP(0,BF33:BL35,5,FALSE)</f>
        <v>0</v>
      </c>
      <c r="AV46" s="104"/>
      <c r="AW46" s="105">
        <f ca="1">AR46-AU46</f>
        <v>0</v>
      </c>
      <c r="AX46" s="104"/>
    </row>
    <row r="47" spans="1:68" ht="37.5" x14ac:dyDescent="0.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 t="s">
        <v>0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68" ht="15.75" x14ac:dyDescent="0.25">
      <c r="A48" s="7"/>
      <c r="B48" s="90" t="s">
        <v>17</v>
      </c>
      <c r="C48" s="90"/>
      <c r="D48" s="90"/>
      <c r="E48" s="90"/>
      <c r="F48" s="90"/>
      <c r="G48" s="93">
        <v>0.4236111111111111</v>
      </c>
      <c r="H48" s="93"/>
      <c r="I48" s="93"/>
      <c r="J48" s="93"/>
      <c r="K48" s="93"/>
      <c r="L48" s="90" t="s">
        <v>18</v>
      </c>
      <c r="M48" s="90"/>
      <c r="N48" s="90"/>
      <c r="S48" s="90" t="s">
        <v>19</v>
      </c>
      <c r="T48" s="90"/>
      <c r="U48" s="90"/>
      <c r="V48" s="90"/>
      <c r="W48" s="90"/>
      <c r="X48" s="90"/>
      <c r="Y48" s="91">
        <v>6.9444444444444441E-3</v>
      </c>
      <c r="Z48" s="91"/>
      <c r="AA48" s="91"/>
      <c r="AB48" s="91"/>
      <c r="AC48" s="91"/>
      <c r="AD48" s="90" t="s">
        <v>20</v>
      </c>
      <c r="AE48" s="90"/>
      <c r="AF48" s="90"/>
      <c r="AJ48" s="7"/>
      <c r="AK48" s="90" t="s">
        <v>21</v>
      </c>
      <c r="AL48" s="90"/>
      <c r="AM48" s="90"/>
      <c r="AN48" s="90"/>
      <c r="AO48" s="90"/>
      <c r="AP48" s="91">
        <v>6.9444444444444447E-4</v>
      </c>
      <c r="AQ48" s="91"/>
      <c r="AR48" s="91"/>
      <c r="AS48" s="91"/>
      <c r="AT48" s="91"/>
      <c r="AU48" s="90" t="s">
        <v>20</v>
      </c>
      <c r="AV48" s="90"/>
      <c r="AW48" s="90"/>
    </row>
    <row r="49" spans="1:59" ht="15.75" x14ac:dyDescent="0.25">
      <c r="B49" s="8"/>
      <c r="C49" s="8"/>
      <c r="D49" s="8"/>
      <c r="E49" s="8"/>
      <c r="F49" s="8"/>
      <c r="G49" s="17"/>
      <c r="H49" s="17"/>
      <c r="I49" s="17"/>
      <c r="J49" s="17"/>
      <c r="K49" s="17"/>
      <c r="L49" s="8"/>
      <c r="M49" s="8"/>
      <c r="N49" s="8"/>
      <c r="S49" s="8"/>
      <c r="T49" s="8"/>
      <c r="U49" s="8"/>
      <c r="V49" s="8"/>
      <c r="W49" s="8"/>
      <c r="X49" s="8"/>
      <c r="Y49" s="16"/>
      <c r="Z49" s="16"/>
      <c r="AA49" s="16"/>
      <c r="AB49" s="16"/>
      <c r="AC49" s="16"/>
      <c r="AD49" s="8"/>
      <c r="AE49" s="8"/>
      <c r="AF49" s="8"/>
      <c r="AJ49" s="7"/>
      <c r="AK49" s="8"/>
      <c r="AL49" s="8"/>
      <c r="AM49" s="8"/>
      <c r="AN49" s="8"/>
      <c r="AO49" s="8"/>
      <c r="AP49" s="16"/>
      <c r="AQ49" s="16"/>
      <c r="AR49" s="16"/>
      <c r="AS49" s="16"/>
      <c r="AT49" s="16"/>
      <c r="AU49" s="8"/>
      <c r="AV49" s="8"/>
      <c r="AW49" s="8"/>
    </row>
    <row r="50" spans="1:59" ht="20.100000000000001" customHeight="1" thickBot="1" x14ac:dyDescent="0.3">
      <c r="A50" s="19" t="s">
        <v>68</v>
      </c>
    </row>
    <row r="51" spans="1:59" ht="20.100000000000001" customHeight="1" thickBot="1" x14ac:dyDescent="0.3">
      <c r="A51" s="120" t="s">
        <v>43</v>
      </c>
      <c r="B51" s="121"/>
      <c r="C51" s="120" t="s">
        <v>44</v>
      </c>
      <c r="D51" s="122"/>
      <c r="E51" s="121"/>
      <c r="F51" s="120" t="s">
        <v>25</v>
      </c>
      <c r="G51" s="122"/>
      <c r="H51" s="122"/>
      <c r="I51" s="121"/>
      <c r="J51" s="120" t="s">
        <v>138</v>
      </c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1"/>
      <c r="AR51" s="120" t="s">
        <v>27</v>
      </c>
      <c r="AS51" s="122"/>
      <c r="AT51" s="122"/>
      <c r="AU51" s="122"/>
      <c r="AV51" s="121"/>
      <c r="AW51" s="123"/>
      <c r="AX51" s="124"/>
      <c r="AZ51" s="36"/>
      <c r="BA51" s="36"/>
      <c r="BB51" s="36"/>
      <c r="BC51" s="36"/>
      <c r="BD51" s="36"/>
      <c r="BE51" s="36"/>
      <c r="BF51" s="36"/>
      <c r="BG51" s="36"/>
    </row>
    <row r="52" spans="1:59" ht="20.100000000000001" customHeight="1" x14ac:dyDescent="0.25">
      <c r="A52" s="125">
        <v>1</v>
      </c>
      <c r="B52" s="127"/>
      <c r="C52" s="125">
        <v>1</v>
      </c>
      <c r="D52" s="126"/>
      <c r="E52" s="127"/>
      <c r="F52" s="134">
        <f>G48</f>
        <v>0.4236111111111111</v>
      </c>
      <c r="G52" s="126"/>
      <c r="H52" s="126"/>
      <c r="I52" s="127"/>
      <c r="J52" s="125" t="str">
        <f>IF(ISBLANK(AS32),"",C39)</f>
        <v/>
      </c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 t="s">
        <v>29</v>
      </c>
      <c r="AA52" s="126"/>
      <c r="AB52" s="126" t="str">
        <f>IF(ISBLANK(AS33),"",AC40)</f>
        <v/>
      </c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7"/>
      <c r="AR52" s="125"/>
      <c r="AS52" s="126"/>
      <c r="AT52" s="126" t="s">
        <v>29</v>
      </c>
      <c r="AU52" s="126"/>
      <c r="AV52" s="127"/>
      <c r="AW52" s="30"/>
      <c r="AX52" s="31"/>
      <c r="AZ52" s="36"/>
      <c r="BA52" s="36">
        <f>IF(ISBLANK($AR52),0,IF($AR52&gt;$AU52,3,IF($AR52=$AU52,1,0)))</f>
        <v>0</v>
      </c>
      <c r="BB52" s="36"/>
      <c r="BC52" s="36">
        <f>IF(ISBLANK($AU52),0,IF($AR52&lt;$AU52,3,IF($AR52=$AU52,1,0)))</f>
        <v>0</v>
      </c>
      <c r="BD52" s="36"/>
      <c r="BE52" s="36"/>
      <c r="BF52" s="36"/>
      <c r="BG52" s="36"/>
    </row>
    <row r="53" spans="1:59" ht="15" customHeight="1" thickBot="1" x14ac:dyDescent="0.3">
      <c r="A53" s="131"/>
      <c r="B53" s="132"/>
      <c r="C53" s="131"/>
      <c r="D53" s="133"/>
      <c r="E53" s="132"/>
      <c r="F53" s="131"/>
      <c r="G53" s="133"/>
      <c r="H53" s="133"/>
      <c r="I53" s="132"/>
      <c r="J53" s="128" t="s">
        <v>45</v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32"/>
      <c r="AA53" s="32"/>
      <c r="AB53" s="129" t="s">
        <v>46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30"/>
      <c r="AR53" s="131"/>
      <c r="AS53" s="133"/>
      <c r="AT53" s="133"/>
      <c r="AU53" s="133"/>
      <c r="AV53" s="132"/>
      <c r="AW53" s="33"/>
      <c r="AX53" s="34"/>
      <c r="AZ53" s="36"/>
      <c r="BA53" s="36"/>
      <c r="BB53" s="36"/>
      <c r="BC53" s="36"/>
      <c r="BD53" s="36"/>
      <c r="BE53" s="36"/>
      <c r="BF53" s="36"/>
      <c r="BG53" s="36"/>
    </row>
    <row r="54" spans="1:59" ht="5.0999999999999996" customHeight="1" thickBo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Z54" s="36"/>
      <c r="BA54" s="36"/>
      <c r="BB54" s="36"/>
      <c r="BC54" s="36"/>
      <c r="BD54" s="36"/>
      <c r="BE54" s="36"/>
      <c r="BF54" s="36"/>
      <c r="BG54" s="36"/>
    </row>
    <row r="55" spans="1:59" ht="20.100000000000001" customHeight="1" thickBot="1" x14ac:dyDescent="0.3">
      <c r="A55" s="120" t="s">
        <v>43</v>
      </c>
      <c r="B55" s="121"/>
      <c r="C55" s="120" t="s">
        <v>44</v>
      </c>
      <c r="D55" s="122"/>
      <c r="E55" s="121"/>
      <c r="F55" s="120" t="s">
        <v>25</v>
      </c>
      <c r="G55" s="122"/>
      <c r="H55" s="122"/>
      <c r="I55" s="121"/>
      <c r="J55" s="120" t="s">
        <v>139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1"/>
      <c r="AR55" s="120" t="s">
        <v>27</v>
      </c>
      <c r="AS55" s="122"/>
      <c r="AT55" s="122"/>
      <c r="AU55" s="122"/>
      <c r="AV55" s="121"/>
      <c r="AW55" s="123"/>
      <c r="AX55" s="124"/>
      <c r="AZ55" s="36"/>
      <c r="BA55" s="36"/>
      <c r="BB55" s="36"/>
      <c r="BC55" s="36"/>
      <c r="BD55" s="36"/>
      <c r="BE55" s="36"/>
      <c r="BF55" s="36"/>
      <c r="BG55" s="36"/>
    </row>
    <row r="56" spans="1:59" ht="20.100000000000001" customHeight="1" x14ac:dyDescent="0.25">
      <c r="A56" s="125">
        <v>2</v>
      </c>
      <c r="B56" s="127"/>
      <c r="C56" s="125">
        <v>2</v>
      </c>
      <c r="D56" s="126"/>
      <c r="E56" s="127"/>
      <c r="F56" s="134">
        <f>F52</f>
        <v>0.4236111111111111</v>
      </c>
      <c r="G56" s="126"/>
      <c r="H56" s="126"/>
      <c r="I56" s="127"/>
      <c r="J56" s="125" t="str">
        <f>IF(ISBLANK(AS33),"",AC39)</f>
        <v/>
      </c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 t="s">
        <v>29</v>
      </c>
      <c r="AA56" s="126"/>
      <c r="AB56" s="126" t="str">
        <f>IF(ISBLANK(AS32),"",C40)</f>
        <v/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7"/>
      <c r="AR56" s="125"/>
      <c r="AS56" s="126"/>
      <c r="AT56" s="126" t="s">
        <v>29</v>
      </c>
      <c r="AU56" s="126"/>
      <c r="AV56" s="127"/>
      <c r="AW56" s="30"/>
      <c r="AX56" s="31"/>
      <c r="AZ56" s="36"/>
      <c r="BA56" s="36">
        <f>IF(ISBLANK($AR56),0,IF($AR56&gt;$AU56,3,IF($AR56=$AU56,1,0)))</f>
        <v>0</v>
      </c>
      <c r="BB56" s="36"/>
      <c r="BC56" s="36">
        <f>IF(ISBLANK($AU56),0,IF($AR56&lt;$AU56,3,IF($AR56=$AU56,1,0)))</f>
        <v>0</v>
      </c>
      <c r="BD56" s="36"/>
      <c r="BE56" s="36"/>
      <c r="BF56" s="36"/>
      <c r="BG56" s="36"/>
    </row>
    <row r="57" spans="1:59" ht="15" customHeight="1" thickBot="1" x14ac:dyDescent="0.3">
      <c r="A57" s="131"/>
      <c r="B57" s="132"/>
      <c r="C57" s="131"/>
      <c r="D57" s="133"/>
      <c r="E57" s="132"/>
      <c r="F57" s="131"/>
      <c r="G57" s="133"/>
      <c r="H57" s="133"/>
      <c r="I57" s="132"/>
      <c r="J57" s="128" t="s">
        <v>47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32"/>
      <c r="AA57" s="32"/>
      <c r="AB57" s="129" t="s">
        <v>48</v>
      </c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30"/>
      <c r="AR57" s="131"/>
      <c r="AS57" s="133"/>
      <c r="AT57" s="133"/>
      <c r="AU57" s="133"/>
      <c r="AV57" s="132"/>
      <c r="AW57" s="33"/>
      <c r="AX57" s="34"/>
      <c r="AZ57" s="36"/>
      <c r="BA57" s="36"/>
      <c r="BB57" s="36"/>
      <c r="BC57" s="36"/>
      <c r="BD57" s="36"/>
      <c r="BE57" s="36"/>
      <c r="BF57" s="36"/>
      <c r="BG57" s="36"/>
    </row>
    <row r="58" spans="1:59" ht="5.0999999999999996" customHeight="1" thickBo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Z58" s="36"/>
      <c r="BA58" s="36"/>
      <c r="BB58" s="36"/>
      <c r="BC58" s="36"/>
      <c r="BD58" s="36"/>
      <c r="BE58" s="36"/>
      <c r="BF58" s="36"/>
      <c r="BG58" s="36"/>
    </row>
    <row r="59" spans="1:59" ht="20.100000000000001" customHeight="1" thickBot="1" x14ac:dyDescent="0.3">
      <c r="A59" s="120" t="s">
        <v>43</v>
      </c>
      <c r="B59" s="121"/>
      <c r="C59" s="120" t="s">
        <v>44</v>
      </c>
      <c r="D59" s="122"/>
      <c r="E59" s="121"/>
      <c r="F59" s="120" t="s">
        <v>25</v>
      </c>
      <c r="G59" s="122"/>
      <c r="H59" s="122"/>
      <c r="I59" s="121"/>
      <c r="J59" s="120" t="s">
        <v>140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1"/>
      <c r="AR59" s="120" t="s">
        <v>27</v>
      </c>
      <c r="AS59" s="122"/>
      <c r="AT59" s="122"/>
      <c r="AU59" s="122"/>
      <c r="AV59" s="121"/>
      <c r="AW59" s="123"/>
      <c r="AX59" s="124"/>
      <c r="AZ59" s="36"/>
      <c r="BA59" s="36"/>
      <c r="BB59" s="36"/>
      <c r="BC59" s="36"/>
      <c r="BD59" s="36"/>
      <c r="BE59" s="36"/>
      <c r="BF59" s="36"/>
      <c r="BG59" s="36"/>
    </row>
    <row r="60" spans="1:59" ht="20.100000000000001" customHeight="1" x14ac:dyDescent="0.25">
      <c r="A60" s="125">
        <v>3</v>
      </c>
      <c r="B60" s="127"/>
      <c r="C60" s="125">
        <v>1</v>
      </c>
      <c r="D60" s="126"/>
      <c r="E60" s="127"/>
      <c r="F60" s="134">
        <f>F52+Y48+AP48</f>
        <v>0.43124999999999997</v>
      </c>
      <c r="G60" s="126"/>
      <c r="H60" s="126"/>
      <c r="I60" s="127"/>
      <c r="J60" s="125" t="str">
        <f>IF(ISBLANK(AS34),"",C44)</f>
        <v/>
      </c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 t="s">
        <v>29</v>
      </c>
      <c r="AA60" s="126"/>
      <c r="AB60" s="126" t="str">
        <f>IF(ISBLANK(AS35),"",AC45)</f>
        <v/>
      </c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7"/>
      <c r="AR60" s="125"/>
      <c r="AS60" s="126"/>
      <c r="AT60" s="126" t="s">
        <v>29</v>
      </c>
      <c r="AU60" s="126"/>
      <c r="AV60" s="127"/>
      <c r="AW60" s="30"/>
      <c r="AX60" s="31"/>
      <c r="AZ60" s="36"/>
      <c r="BA60" s="36">
        <f>IF(ISBLANK($AR60),0,IF($AR60&gt;$AU60,3,IF($AR60=$AU60,1,0)))</f>
        <v>0</v>
      </c>
      <c r="BB60" s="36"/>
      <c r="BC60" s="36">
        <f>IF(ISBLANK($AU60),0,IF($AR60&lt;$AU60,3,IF($AR60=$AU60,1,0)))</f>
        <v>0</v>
      </c>
      <c r="BD60" s="36"/>
      <c r="BE60" s="36"/>
      <c r="BF60" s="36"/>
      <c r="BG60" s="36"/>
    </row>
    <row r="61" spans="1:59" ht="15" customHeight="1" thickBot="1" x14ac:dyDescent="0.3">
      <c r="A61" s="131"/>
      <c r="B61" s="132"/>
      <c r="C61" s="131"/>
      <c r="D61" s="133"/>
      <c r="E61" s="132"/>
      <c r="F61" s="131"/>
      <c r="G61" s="133"/>
      <c r="H61" s="133"/>
      <c r="I61" s="132"/>
      <c r="J61" s="128" t="s">
        <v>49</v>
      </c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32"/>
      <c r="AA61" s="32"/>
      <c r="AB61" s="129" t="s">
        <v>50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30"/>
      <c r="AR61" s="131"/>
      <c r="AS61" s="133"/>
      <c r="AT61" s="133"/>
      <c r="AU61" s="133"/>
      <c r="AV61" s="132"/>
      <c r="AW61" s="33"/>
      <c r="AX61" s="34"/>
      <c r="AZ61" s="36"/>
      <c r="BA61" s="36"/>
      <c r="BB61" s="36"/>
      <c r="BC61" s="36"/>
      <c r="BD61" s="36"/>
      <c r="BE61" s="36"/>
      <c r="BF61" s="36"/>
      <c r="BG61" s="36"/>
    </row>
    <row r="62" spans="1:59" ht="5.0999999999999996" customHeight="1" thickBo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Z62" s="36"/>
      <c r="BA62" s="36"/>
      <c r="BB62" s="36"/>
      <c r="BC62" s="36"/>
      <c r="BD62" s="36"/>
      <c r="BE62" s="36"/>
      <c r="BF62" s="36"/>
      <c r="BG62" s="36"/>
    </row>
    <row r="63" spans="1:59" ht="20.100000000000001" customHeight="1" thickBot="1" x14ac:dyDescent="0.3">
      <c r="A63" s="120" t="s">
        <v>43</v>
      </c>
      <c r="B63" s="121"/>
      <c r="C63" s="120" t="s">
        <v>44</v>
      </c>
      <c r="D63" s="122"/>
      <c r="E63" s="121"/>
      <c r="F63" s="120" t="s">
        <v>25</v>
      </c>
      <c r="G63" s="122"/>
      <c r="H63" s="122"/>
      <c r="I63" s="121"/>
      <c r="J63" s="120" t="s">
        <v>141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1"/>
      <c r="AR63" s="120" t="s">
        <v>27</v>
      </c>
      <c r="AS63" s="122"/>
      <c r="AT63" s="122"/>
      <c r="AU63" s="122"/>
      <c r="AV63" s="121"/>
      <c r="AW63" s="123"/>
      <c r="AX63" s="124"/>
      <c r="AZ63" s="36"/>
      <c r="BA63" s="36"/>
      <c r="BB63" s="36"/>
      <c r="BC63" s="36"/>
      <c r="BD63" s="36"/>
      <c r="BE63" s="36"/>
      <c r="BF63" s="36"/>
      <c r="BG63" s="36"/>
    </row>
    <row r="64" spans="1:59" ht="20.100000000000001" customHeight="1" x14ac:dyDescent="0.25">
      <c r="A64" s="125">
        <v>4</v>
      </c>
      <c r="B64" s="127"/>
      <c r="C64" s="125">
        <v>2</v>
      </c>
      <c r="D64" s="126"/>
      <c r="E64" s="127"/>
      <c r="F64" s="134">
        <f>F60</f>
        <v>0.43124999999999997</v>
      </c>
      <c r="G64" s="126"/>
      <c r="H64" s="126"/>
      <c r="I64" s="127"/>
      <c r="J64" s="125" t="str">
        <f>IF(ISBLANK(AS35),"",AC44)</f>
        <v/>
      </c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 t="s">
        <v>29</v>
      </c>
      <c r="AA64" s="126"/>
      <c r="AB64" s="126" t="str">
        <f>IF(ISBLANK(AS34),"",C45)</f>
        <v/>
      </c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7"/>
      <c r="AR64" s="125"/>
      <c r="AS64" s="126"/>
      <c r="AT64" s="126" t="s">
        <v>29</v>
      </c>
      <c r="AU64" s="126"/>
      <c r="AV64" s="127"/>
      <c r="AW64" s="30"/>
      <c r="AX64" s="31"/>
      <c r="AZ64" s="36"/>
      <c r="BA64" s="36">
        <f>IF(ISBLANK($AR64),0,IF($AR64&gt;$AU64,3,IF($AR64=$AU64,1,0)))</f>
        <v>0</v>
      </c>
      <c r="BB64" s="36"/>
      <c r="BC64" s="36">
        <f>IF(ISBLANK($AU64),0,IF($AR64&lt;$AU64,3,IF($AR64=$AU64,1,0)))</f>
        <v>0</v>
      </c>
      <c r="BD64" s="36"/>
      <c r="BE64" s="36"/>
      <c r="BF64" s="36"/>
      <c r="BG64" s="36"/>
    </row>
    <row r="65" spans="1:65" ht="15" customHeight="1" thickBot="1" x14ac:dyDescent="0.3">
      <c r="A65" s="131"/>
      <c r="B65" s="132"/>
      <c r="C65" s="131"/>
      <c r="D65" s="133"/>
      <c r="E65" s="132"/>
      <c r="F65" s="131"/>
      <c r="G65" s="133"/>
      <c r="H65" s="133"/>
      <c r="I65" s="132"/>
      <c r="J65" s="128" t="s">
        <v>51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32"/>
      <c r="AA65" s="32"/>
      <c r="AB65" s="129" t="s">
        <v>52</v>
      </c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30"/>
      <c r="AR65" s="131"/>
      <c r="AS65" s="133"/>
      <c r="AT65" s="133"/>
      <c r="AU65" s="133"/>
      <c r="AV65" s="132"/>
      <c r="AW65" s="33"/>
      <c r="AX65" s="34"/>
      <c r="AZ65" s="36"/>
      <c r="BA65" s="36"/>
      <c r="BB65" s="36"/>
      <c r="BC65" s="36"/>
      <c r="BD65" s="36"/>
      <c r="BE65" s="36"/>
      <c r="BF65" s="36"/>
      <c r="BG65" s="36"/>
    </row>
    <row r="66" spans="1:65" ht="15" customHeight="1" thickBo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Z66" s="36"/>
      <c r="BA66" s="36"/>
      <c r="BB66" s="36"/>
      <c r="BC66" s="36"/>
      <c r="BD66" s="36"/>
      <c r="BE66" s="36"/>
      <c r="BF66" s="36"/>
      <c r="BG66" s="36"/>
    </row>
    <row r="67" spans="1:65" ht="20.100000000000001" customHeight="1" thickBot="1" x14ac:dyDescent="0.3">
      <c r="A67" s="135" t="s">
        <v>43</v>
      </c>
      <c r="B67" s="136"/>
      <c r="C67" s="135" t="s">
        <v>44</v>
      </c>
      <c r="D67" s="137"/>
      <c r="E67" s="136"/>
      <c r="F67" s="135" t="s">
        <v>25</v>
      </c>
      <c r="G67" s="137"/>
      <c r="H67" s="137"/>
      <c r="I67" s="136"/>
      <c r="J67" s="135" t="s">
        <v>53</v>
      </c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6"/>
      <c r="AR67" s="135" t="s">
        <v>27</v>
      </c>
      <c r="AS67" s="137"/>
      <c r="AT67" s="137"/>
      <c r="AU67" s="137"/>
      <c r="AV67" s="136"/>
      <c r="AW67" s="138"/>
      <c r="AX67" s="139"/>
      <c r="AZ67" s="36"/>
      <c r="BA67" s="36"/>
      <c r="BB67" s="36"/>
      <c r="BC67" s="36"/>
      <c r="BD67" s="36"/>
      <c r="BE67" s="36"/>
      <c r="BF67" s="36"/>
      <c r="BG67" s="36"/>
    </row>
    <row r="68" spans="1:65" ht="20.100000000000001" customHeight="1" x14ac:dyDescent="0.25">
      <c r="A68" s="125">
        <v>5</v>
      </c>
      <c r="B68" s="127"/>
      <c r="C68" s="125">
        <v>1</v>
      </c>
      <c r="D68" s="126"/>
      <c r="E68" s="127"/>
      <c r="F68" s="134">
        <f>F60+Y48+AP48</f>
        <v>0.43888888888888883</v>
      </c>
      <c r="G68" s="126"/>
      <c r="H68" s="126"/>
      <c r="I68" s="127"/>
      <c r="J68" s="125" t="str">
        <f>IF(ISBLANK(AS32),"",C41)</f>
        <v/>
      </c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 t="s">
        <v>29</v>
      </c>
      <c r="AA68" s="126"/>
      <c r="AB68" s="126" t="str">
        <f>IF(ISBLANK(AS33),"",AC41)</f>
        <v/>
      </c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7"/>
      <c r="AR68" s="125"/>
      <c r="AS68" s="126"/>
      <c r="AT68" s="126" t="s">
        <v>29</v>
      </c>
      <c r="AU68" s="126"/>
      <c r="AV68" s="127"/>
      <c r="AW68" s="30"/>
      <c r="AX68" s="31"/>
      <c r="AZ68" s="36"/>
      <c r="BA68" s="36">
        <f>IF(ISBLANK($AR68),0,IF($AR68&gt;$AU68,3,IF($AR68=$AU68,1,0)))</f>
        <v>0</v>
      </c>
      <c r="BB68" s="36"/>
      <c r="BC68" s="36">
        <f>IF(ISBLANK($AU68),0,IF($AR68&lt;$AU68,3,IF($AR68=$AU68,1,0)))</f>
        <v>0</v>
      </c>
      <c r="BD68" s="36"/>
      <c r="BE68" s="36"/>
      <c r="BF68" s="36"/>
      <c r="BG68" s="36"/>
    </row>
    <row r="69" spans="1:65" ht="15" customHeight="1" thickBot="1" x14ac:dyDescent="0.3">
      <c r="A69" s="131"/>
      <c r="B69" s="132"/>
      <c r="C69" s="131"/>
      <c r="D69" s="133"/>
      <c r="E69" s="132"/>
      <c r="F69" s="131"/>
      <c r="G69" s="133"/>
      <c r="H69" s="133"/>
      <c r="I69" s="132"/>
      <c r="J69" s="128" t="s">
        <v>57</v>
      </c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32"/>
      <c r="AA69" s="32"/>
      <c r="AB69" s="129" t="s">
        <v>134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30"/>
      <c r="AR69" s="131"/>
      <c r="AS69" s="133"/>
      <c r="AT69" s="133"/>
      <c r="AU69" s="133"/>
      <c r="AV69" s="132"/>
      <c r="AW69" s="33"/>
      <c r="AX69" s="34"/>
      <c r="AZ69" s="36"/>
      <c r="BA69" s="36"/>
      <c r="BB69" s="36"/>
      <c r="BC69" s="36"/>
      <c r="BD69" s="36"/>
      <c r="BE69" s="36"/>
      <c r="BF69" s="36"/>
      <c r="BG69" s="36"/>
    </row>
    <row r="70" spans="1:65" ht="5.0999999999999996" customHeight="1" thickBo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Z70" s="36"/>
      <c r="BA70" s="36"/>
      <c r="BB70" s="36"/>
      <c r="BC70" s="36"/>
      <c r="BD70" s="36"/>
      <c r="BE70" s="36"/>
      <c r="BF70" s="36"/>
      <c r="BG70" s="36"/>
    </row>
    <row r="71" spans="1:65" ht="20.100000000000001" customHeight="1" thickBot="1" x14ac:dyDescent="0.3">
      <c r="A71" s="135" t="s">
        <v>43</v>
      </c>
      <c r="B71" s="136"/>
      <c r="C71" s="135" t="s">
        <v>44</v>
      </c>
      <c r="D71" s="137"/>
      <c r="E71" s="136"/>
      <c r="F71" s="135" t="s">
        <v>25</v>
      </c>
      <c r="G71" s="137"/>
      <c r="H71" s="137"/>
      <c r="I71" s="136"/>
      <c r="J71" s="135" t="s">
        <v>54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6"/>
      <c r="AR71" s="135" t="s">
        <v>27</v>
      </c>
      <c r="AS71" s="137"/>
      <c r="AT71" s="137"/>
      <c r="AU71" s="137"/>
      <c r="AV71" s="136"/>
      <c r="AW71" s="138"/>
      <c r="AX71" s="139"/>
      <c r="AZ71" s="36"/>
      <c r="BA71" s="36"/>
      <c r="BB71" s="36"/>
      <c r="BC71" s="36"/>
      <c r="BD71" s="36"/>
      <c r="BE71" s="36"/>
      <c r="BF71" s="36"/>
      <c r="BG71" s="36"/>
    </row>
    <row r="72" spans="1:65" ht="20.100000000000001" customHeight="1" x14ac:dyDescent="0.25">
      <c r="A72" s="125">
        <v>6</v>
      </c>
      <c r="B72" s="127"/>
      <c r="C72" s="125">
        <v>2</v>
      </c>
      <c r="D72" s="126"/>
      <c r="E72" s="127"/>
      <c r="F72" s="134">
        <f>F68</f>
        <v>0.43888888888888883</v>
      </c>
      <c r="G72" s="126"/>
      <c r="H72" s="126"/>
      <c r="I72" s="127"/>
      <c r="J72" s="125" t="str">
        <f>IF(ISBLANK(AS34),"",C46)</f>
        <v/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 t="s">
        <v>29</v>
      </c>
      <c r="AA72" s="126"/>
      <c r="AB72" s="126" t="str">
        <f>IF(ISBLANK(AS35),"",AC46)</f>
        <v/>
      </c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7"/>
      <c r="AR72" s="125"/>
      <c r="AS72" s="126"/>
      <c r="AT72" s="126" t="s">
        <v>29</v>
      </c>
      <c r="AU72" s="126"/>
      <c r="AV72" s="127"/>
      <c r="AW72" s="30"/>
      <c r="AX72" s="31"/>
      <c r="AZ72" s="36"/>
      <c r="BA72" s="36">
        <f>IF(ISBLANK($AR72),0,IF($AR72&gt;$AU72,3,IF($AR72=$AU72,1,0)))</f>
        <v>0</v>
      </c>
      <c r="BB72" s="36"/>
      <c r="BC72" s="36">
        <f>IF(ISBLANK($AU72),0,IF($AR72&lt;$AU72,3,IF($AR72=$AU72,1,0)))</f>
        <v>0</v>
      </c>
      <c r="BD72" s="36"/>
      <c r="BE72" s="36"/>
      <c r="BF72" s="36"/>
      <c r="BG72" s="36"/>
    </row>
    <row r="73" spans="1:65" ht="15" customHeight="1" thickBot="1" x14ac:dyDescent="0.3">
      <c r="A73" s="131"/>
      <c r="B73" s="132"/>
      <c r="C73" s="131"/>
      <c r="D73" s="133"/>
      <c r="E73" s="132"/>
      <c r="F73" s="131"/>
      <c r="G73" s="133"/>
      <c r="H73" s="133"/>
      <c r="I73" s="132"/>
      <c r="J73" s="128" t="s">
        <v>135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32"/>
      <c r="AA73" s="32"/>
      <c r="AB73" s="129" t="s">
        <v>136</v>
      </c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30"/>
      <c r="AR73" s="131"/>
      <c r="AS73" s="133"/>
      <c r="AT73" s="133"/>
      <c r="AU73" s="133"/>
      <c r="AV73" s="132"/>
      <c r="AW73" s="33"/>
      <c r="AX73" s="34"/>
      <c r="AZ73" s="36"/>
      <c r="BA73" s="36"/>
      <c r="BB73" s="36"/>
      <c r="BC73" s="36"/>
      <c r="BD73" s="36"/>
      <c r="BE73" s="36"/>
      <c r="BF73" s="36"/>
      <c r="BG73" s="36"/>
    </row>
    <row r="74" spans="1:65" ht="15" customHeight="1" thickBo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Z74" s="36"/>
      <c r="BA74" s="36"/>
      <c r="BB74" s="36"/>
      <c r="BC74" s="36"/>
      <c r="BD74" s="36"/>
      <c r="BE74" s="36"/>
      <c r="BF74" s="36"/>
      <c r="BG74" s="36"/>
    </row>
    <row r="75" spans="1:65" ht="20.100000000000001" customHeight="1" thickBot="1" x14ac:dyDescent="0.3">
      <c r="A75" s="140" t="s">
        <v>43</v>
      </c>
      <c r="B75" s="142"/>
      <c r="C75" s="140" t="s">
        <v>44</v>
      </c>
      <c r="D75" s="141"/>
      <c r="E75" s="142"/>
      <c r="F75" s="140" t="s">
        <v>25</v>
      </c>
      <c r="G75" s="141"/>
      <c r="H75" s="141"/>
      <c r="I75" s="142"/>
      <c r="J75" s="140" t="s">
        <v>55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2"/>
      <c r="AR75" s="140" t="s">
        <v>27</v>
      </c>
      <c r="AS75" s="141"/>
      <c r="AT75" s="141"/>
      <c r="AU75" s="141"/>
      <c r="AV75" s="142"/>
      <c r="AW75" s="143"/>
      <c r="AX75" s="144"/>
      <c r="AZ75" s="36"/>
      <c r="BA75" s="36"/>
      <c r="BB75" s="36"/>
      <c r="BC75" s="36"/>
      <c r="BD75" s="36"/>
      <c r="BE75" s="36"/>
      <c r="BF75" s="36"/>
      <c r="BG75" s="36"/>
    </row>
    <row r="76" spans="1:65" ht="20.100000000000001" customHeight="1" x14ac:dyDescent="0.25">
      <c r="A76" s="125">
        <v>7</v>
      </c>
      <c r="B76" s="127"/>
      <c r="C76" s="125">
        <v>1</v>
      </c>
      <c r="D76" s="126"/>
      <c r="E76" s="127"/>
      <c r="F76" s="134">
        <f>F68+Y48+AP48</f>
        <v>0.44652777777777769</v>
      </c>
      <c r="G76" s="126"/>
      <c r="H76" s="126"/>
      <c r="I76" s="127"/>
      <c r="J76" s="125" t="str">
        <f>IF(ISBLANK(AU52),"",IF(BA52=3,AB52,J52))</f>
        <v/>
      </c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 t="s">
        <v>29</v>
      </c>
      <c r="AA76" s="126"/>
      <c r="AB76" s="126" t="str">
        <f>IF(ISBLANK(AU60),"",IF(BA60=3,AB60,J60))</f>
        <v/>
      </c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7"/>
      <c r="AR76" s="125"/>
      <c r="AS76" s="126"/>
      <c r="AT76" s="126" t="s">
        <v>29</v>
      </c>
      <c r="AU76" s="126"/>
      <c r="AV76" s="127"/>
      <c r="AW76" s="30"/>
      <c r="AX76" s="31"/>
      <c r="AZ76" s="36"/>
      <c r="BA76" s="36">
        <f>IF(ISBLANK($AR76),0,IF($AR76&gt;$AU76,3,IF($AR76=$AU76,1,0)))</f>
        <v>0</v>
      </c>
      <c r="BB76" s="36"/>
      <c r="BC76" s="36">
        <f>IF(ISBLANK($AU76),0,IF($AR76&lt;$AU76,3,IF($AR76=$AU76,1,0)))</f>
        <v>0</v>
      </c>
      <c r="BD76" s="36"/>
      <c r="BE76" s="36"/>
      <c r="BF76" s="36"/>
      <c r="BG76" s="36"/>
    </row>
    <row r="77" spans="1:65" ht="15" customHeight="1" thickBot="1" x14ac:dyDescent="0.3">
      <c r="A77" s="131"/>
      <c r="B77" s="132"/>
      <c r="C77" s="131"/>
      <c r="D77" s="133"/>
      <c r="E77" s="132"/>
      <c r="F77" s="131"/>
      <c r="G77" s="133"/>
      <c r="H77" s="133"/>
      <c r="I77" s="132"/>
      <c r="J77" s="128" t="s">
        <v>58</v>
      </c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32"/>
      <c r="AA77" s="32"/>
      <c r="AB77" s="129" t="s">
        <v>60</v>
      </c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30"/>
      <c r="AR77" s="131"/>
      <c r="AS77" s="133"/>
      <c r="AT77" s="133"/>
      <c r="AU77" s="133"/>
      <c r="AV77" s="132"/>
      <c r="AW77" s="33"/>
      <c r="AX77" s="34"/>
      <c r="AZ77" s="36"/>
      <c r="BA77" s="36"/>
      <c r="BB77" s="36"/>
      <c r="BC77" s="36"/>
      <c r="BD77" s="36"/>
      <c r="BE77" s="36"/>
      <c r="BF77" s="36"/>
      <c r="BG77" s="36"/>
    </row>
    <row r="78" spans="1:65" ht="5.0999999999999996" customHeight="1" thickBo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Z78" s="36"/>
      <c r="BA78" s="36"/>
      <c r="BB78" s="36"/>
      <c r="BC78" s="36"/>
      <c r="BD78" s="36"/>
      <c r="BE78" s="36"/>
      <c r="BF78" s="36"/>
      <c r="BG78" s="36"/>
    </row>
    <row r="79" spans="1:65" ht="20.100000000000001" customHeight="1" thickBot="1" x14ac:dyDescent="0.3">
      <c r="A79" s="140" t="s">
        <v>43</v>
      </c>
      <c r="B79" s="142"/>
      <c r="C79" s="140" t="s">
        <v>44</v>
      </c>
      <c r="D79" s="141"/>
      <c r="E79" s="142"/>
      <c r="F79" s="140" t="s">
        <v>25</v>
      </c>
      <c r="G79" s="141"/>
      <c r="H79" s="141"/>
      <c r="I79" s="142"/>
      <c r="J79" s="140" t="s">
        <v>56</v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2"/>
      <c r="AR79" s="140" t="s">
        <v>27</v>
      </c>
      <c r="AS79" s="141"/>
      <c r="AT79" s="141"/>
      <c r="AU79" s="141"/>
      <c r="AV79" s="142"/>
      <c r="AW79" s="143"/>
      <c r="AX79" s="144"/>
      <c r="AZ79" s="36"/>
      <c r="BA79" s="36"/>
      <c r="BB79" s="36"/>
      <c r="BC79" s="36"/>
      <c r="BD79" s="36"/>
      <c r="BE79" s="36"/>
      <c r="BF79" s="36"/>
      <c r="BG79" s="36"/>
      <c r="BM79" s="29"/>
    </row>
    <row r="80" spans="1:65" ht="20.100000000000001" customHeight="1" x14ac:dyDescent="0.25">
      <c r="A80" s="125">
        <v>8</v>
      </c>
      <c r="B80" s="127"/>
      <c r="C80" s="125">
        <v>2</v>
      </c>
      <c r="D80" s="126"/>
      <c r="E80" s="127"/>
      <c r="F80" s="134">
        <f>F76</f>
        <v>0.44652777777777769</v>
      </c>
      <c r="G80" s="126"/>
      <c r="H80" s="126"/>
      <c r="I80" s="127"/>
      <c r="J80" s="125" t="str">
        <f>IF(ISBLANK(AU56),"",IF(BA56=3,AB56,J56))</f>
        <v/>
      </c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 t="s">
        <v>29</v>
      </c>
      <c r="AA80" s="126"/>
      <c r="AB80" s="126" t="str">
        <f>IF(ISBLANK(AU64),"",IF(BA64=3,AB64,J64))</f>
        <v/>
      </c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 t="s">
        <v>29</v>
      </c>
      <c r="AU80" s="126"/>
      <c r="AV80" s="127"/>
      <c r="AW80" s="30"/>
      <c r="AX80" s="31"/>
      <c r="AZ80" s="36"/>
      <c r="BA80" s="36">
        <f>IF(ISBLANK($AR80),0,IF($AR80&gt;$AU80,3,IF($AR80=$AU80,1,0)))</f>
        <v>0</v>
      </c>
      <c r="BB80" s="36"/>
      <c r="BC80" s="36">
        <f>IF(ISBLANK($AU80),0,IF($AR80&lt;$AU80,3,IF($AR80=$AU80,1,0)))</f>
        <v>0</v>
      </c>
      <c r="BD80" s="36"/>
      <c r="BE80" s="36"/>
      <c r="BF80" s="36"/>
      <c r="BG80" s="36"/>
    </row>
    <row r="81" spans="1:59" ht="15" customHeight="1" thickBot="1" x14ac:dyDescent="0.3">
      <c r="A81" s="131"/>
      <c r="B81" s="132"/>
      <c r="C81" s="131"/>
      <c r="D81" s="133"/>
      <c r="E81" s="132"/>
      <c r="F81" s="131"/>
      <c r="G81" s="133"/>
      <c r="H81" s="133"/>
      <c r="I81" s="132"/>
      <c r="J81" s="128" t="s">
        <v>59</v>
      </c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32"/>
      <c r="AA81" s="32"/>
      <c r="AB81" s="129" t="s">
        <v>61</v>
      </c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30"/>
      <c r="AR81" s="131"/>
      <c r="AS81" s="133"/>
      <c r="AT81" s="133"/>
      <c r="AU81" s="133"/>
      <c r="AV81" s="132"/>
      <c r="AW81" s="33"/>
      <c r="AX81" s="34"/>
      <c r="AZ81" s="36"/>
      <c r="BA81" s="36"/>
      <c r="BB81" s="36"/>
      <c r="BC81" s="36"/>
      <c r="BD81" s="36"/>
      <c r="BE81" s="36"/>
      <c r="BF81" s="36"/>
      <c r="BG81" s="36"/>
    </row>
    <row r="82" spans="1:59" ht="15" customHeight="1" thickBot="1" x14ac:dyDescent="0.3">
      <c r="AZ82" s="36"/>
      <c r="BA82" s="36"/>
      <c r="BB82" s="36"/>
      <c r="BC82" s="36"/>
      <c r="BD82" s="36"/>
      <c r="BE82" s="36"/>
      <c r="BF82" s="36"/>
      <c r="BG82" s="36"/>
    </row>
    <row r="83" spans="1:59" ht="20.100000000000001" customHeight="1" thickBot="1" x14ac:dyDescent="0.3">
      <c r="A83" s="145" t="s">
        <v>43</v>
      </c>
      <c r="B83" s="147"/>
      <c r="C83" s="145" t="s">
        <v>44</v>
      </c>
      <c r="D83" s="146"/>
      <c r="E83" s="147"/>
      <c r="F83" s="145" t="s">
        <v>25</v>
      </c>
      <c r="G83" s="146"/>
      <c r="H83" s="146"/>
      <c r="I83" s="147"/>
      <c r="J83" s="145" t="s">
        <v>62</v>
      </c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7"/>
      <c r="AR83" s="145" t="s">
        <v>27</v>
      </c>
      <c r="AS83" s="146"/>
      <c r="AT83" s="146"/>
      <c r="AU83" s="146"/>
      <c r="AV83" s="147"/>
      <c r="AW83" s="148"/>
      <c r="AX83" s="149"/>
      <c r="AZ83" s="36"/>
      <c r="BA83" s="36"/>
      <c r="BB83" s="36"/>
      <c r="BC83" s="36"/>
      <c r="BD83" s="36"/>
      <c r="BE83" s="36"/>
      <c r="BF83" s="36"/>
      <c r="BG83" s="36"/>
    </row>
    <row r="84" spans="1:59" ht="20.100000000000001" customHeight="1" x14ac:dyDescent="0.25">
      <c r="A84" s="125">
        <v>9</v>
      </c>
      <c r="B84" s="127"/>
      <c r="C84" s="125">
        <v>1</v>
      </c>
      <c r="D84" s="126"/>
      <c r="E84" s="127"/>
      <c r="F84" s="134">
        <f>F76+Y48+AP48</f>
        <v>0.45416666666666655</v>
      </c>
      <c r="G84" s="126"/>
      <c r="H84" s="126"/>
      <c r="I84" s="127"/>
      <c r="J84" s="125" t="str">
        <f>IF(ISBLANK(AU52),"",IF(BA52=3,J52,AB52))</f>
        <v/>
      </c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 t="s">
        <v>29</v>
      </c>
      <c r="AA84" s="126"/>
      <c r="AB84" s="126" t="str">
        <f>IF(ISBLANK(AU60),"",IF(BA60=3,J60,AB60))</f>
        <v/>
      </c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7"/>
      <c r="AR84" s="125"/>
      <c r="AS84" s="126"/>
      <c r="AT84" s="126" t="s">
        <v>29</v>
      </c>
      <c r="AU84" s="126"/>
      <c r="AV84" s="127"/>
      <c r="AW84" s="30"/>
      <c r="AX84" s="31"/>
      <c r="AZ84" s="36"/>
      <c r="BA84" s="36">
        <f>IF(ISBLANK($AR84),0,IF($AR84&gt;$AU84,3,IF($AR84=$AU84,1,0)))</f>
        <v>0</v>
      </c>
      <c r="BB84" s="36"/>
      <c r="BC84" s="36">
        <f>IF(ISBLANK($AU84),0,IF($AR84&lt;$AU84,3,IF($AR84=$AU84,1,0)))</f>
        <v>0</v>
      </c>
      <c r="BD84" s="36"/>
      <c r="BE84" s="36"/>
      <c r="BF84" s="36"/>
      <c r="BG84" s="36"/>
    </row>
    <row r="85" spans="1:59" ht="15" customHeight="1" thickBot="1" x14ac:dyDescent="0.3">
      <c r="A85" s="131"/>
      <c r="B85" s="132"/>
      <c r="C85" s="131"/>
      <c r="D85" s="133"/>
      <c r="E85" s="132"/>
      <c r="F85" s="131"/>
      <c r="G85" s="133"/>
      <c r="H85" s="133"/>
      <c r="I85" s="132"/>
      <c r="J85" s="128" t="s">
        <v>64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32"/>
      <c r="AA85" s="32"/>
      <c r="AB85" s="129" t="s">
        <v>65</v>
      </c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30"/>
      <c r="AR85" s="131"/>
      <c r="AS85" s="133"/>
      <c r="AT85" s="133"/>
      <c r="AU85" s="133"/>
      <c r="AV85" s="132"/>
      <c r="AW85" s="33"/>
      <c r="AX85" s="34"/>
      <c r="AZ85" s="36"/>
      <c r="BA85" s="36"/>
      <c r="BB85" s="36"/>
      <c r="BC85" s="36"/>
      <c r="BD85" s="36"/>
      <c r="BE85" s="36"/>
      <c r="BF85" s="36"/>
      <c r="BG85" s="36"/>
    </row>
    <row r="86" spans="1:59" ht="5.0999999999999996" customHeight="1" thickBo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Z86" s="36"/>
      <c r="BA86" s="36"/>
      <c r="BB86" s="36"/>
      <c r="BC86" s="36"/>
      <c r="BD86" s="36"/>
      <c r="BE86" s="36"/>
      <c r="BF86" s="36"/>
      <c r="BG86" s="36"/>
    </row>
    <row r="87" spans="1:59" ht="20.100000000000001" customHeight="1" thickBot="1" x14ac:dyDescent="0.3">
      <c r="A87" s="145" t="s">
        <v>43</v>
      </c>
      <c r="B87" s="147"/>
      <c r="C87" s="145" t="s">
        <v>44</v>
      </c>
      <c r="D87" s="146"/>
      <c r="E87" s="147"/>
      <c r="F87" s="145" t="s">
        <v>25</v>
      </c>
      <c r="G87" s="146"/>
      <c r="H87" s="146"/>
      <c r="I87" s="147"/>
      <c r="J87" s="145" t="s">
        <v>63</v>
      </c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7"/>
      <c r="AR87" s="145" t="s">
        <v>27</v>
      </c>
      <c r="AS87" s="146"/>
      <c r="AT87" s="146"/>
      <c r="AU87" s="146"/>
      <c r="AV87" s="147"/>
      <c r="AW87" s="148"/>
      <c r="AX87" s="149"/>
      <c r="AZ87" s="36"/>
      <c r="BA87" s="36"/>
      <c r="BB87" s="36"/>
      <c r="BC87" s="36"/>
      <c r="BD87" s="36"/>
      <c r="BE87" s="36"/>
      <c r="BF87" s="36"/>
      <c r="BG87" s="36"/>
    </row>
    <row r="88" spans="1:59" ht="20.100000000000001" customHeight="1" x14ac:dyDescent="0.25">
      <c r="A88" s="125">
        <v>10</v>
      </c>
      <c r="B88" s="127"/>
      <c r="C88" s="125">
        <v>2</v>
      </c>
      <c r="D88" s="126"/>
      <c r="E88" s="127"/>
      <c r="F88" s="134">
        <f>F84</f>
        <v>0.45416666666666655</v>
      </c>
      <c r="G88" s="126"/>
      <c r="H88" s="126"/>
      <c r="I88" s="127"/>
      <c r="J88" s="125" t="str">
        <f>IF(ISBLANK(AU56),"",IF(BA56=3,J56,AB56))</f>
        <v/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 t="s">
        <v>29</v>
      </c>
      <c r="AA88" s="126"/>
      <c r="AB88" s="126" t="str">
        <f>IF(ISBLANK(AU64),"",IF(BA64=3,J64,AB64))</f>
        <v/>
      </c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  <c r="AR88" s="125"/>
      <c r="AS88" s="126"/>
      <c r="AT88" s="126" t="s">
        <v>29</v>
      </c>
      <c r="AU88" s="126"/>
      <c r="AV88" s="127"/>
      <c r="AW88" s="30"/>
      <c r="AX88" s="31"/>
      <c r="AZ88" s="36"/>
      <c r="BA88" s="36">
        <f>IF(ISBLANK($AR88),0,IF($AR88&gt;$AU88,3,IF($AR88=$AU88,1,0)))</f>
        <v>0</v>
      </c>
      <c r="BB88" s="36"/>
      <c r="BC88" s="36">
        <f>IF(ISBLANK($AU88),0,IF($AR88&lt;$AU88,3,IF($AR88=$AU88,1,0)))</f>
        <v>0</v>
      </c>
      <c r="BD88" s="36"/>
      <c r="BE88" s="36"/>
      <c r="BF88" s="36"/>
      <c r="BG88" s="36"/>
    </row>
    <row r="89" spans="1:59" ht="15" customHeight="1" thickBot="1" x14ac:dyDescent="0.3">
      <c r="A89" s="131"/>
      <c r="B89" s="132"/>
      <c r="C89" s="131"/>
      <c r="D89" s="133"/>
      <c r="E89" s="132"/>
      <c r="F89" s="131"/>
      <c r="G89" s="133"/>
      <c r="H89" s="133"/>
      <c r="I89" s="132"/>
      <c r="J89" s="128" t="s">
        <v>66</v>
      </c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32"/>
      <c r="AA89" s="32"/>
      <c r="AB89" s="129" t="s">
        <v>67</v>
      </c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30"/>
      <c r="AR89" s="131"/>
      <c r="AS89" s="133"/>
      <c r="AT89" s="133"/>
      <c r="AU89" s="133"/>
      <c r="AV89" s="132"/>
      <c r="AW89" s="33"/>
      <c r="AX89" s="34"/>
    </row>
    <row r="90" spans="1:59" ht="5.0999999999999996" customHeight="1" x14ac:dyDescent="0.25"/>
    <row r="92" spans="1:59" ht="5.0999999999999996" customHeight="1" x14ac:dyDescent="0.25"/>
    <row r="93" spans="1:59" ht="38.25" thickBot="1" x14ac:dyDescent="0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" t="s">
        <v>0</v>
      </c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9" ht="20.100000000000001" customHeight="1" thickBot="1" x14ac:dyDescent="0.3">
      <c r="A94" s="150" t="s">
        <v>43</v>
      </c>
      <c r="B94" s="151"/>
      <c r="C94" s="150" t="s">
        <v>44</v>
      </c>
      <c r="D94" s="152"/>
      <c r="E94" s="151"/>
      <c r="F94" s="150" t="s">
        <v>25</v>
      </c>
      <c r="G94" s="152"/>
      <c r="H94" s="152"/>
      <c r="I94" s="151"/>
      <c r="J94" s="150" t="s">
        <v>69</v>
      </c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1"/>
      <c r="AR94" s="150" t="s">
        <v>27</v>
      </c>
      <c r="AS94" s="152"/>
      <c r="AT94" s="152"/>
      <c r="AU94" s="152"/>
      <c r="AV94" s="151"/>
      <c r="AW94" s="153"/>
      <c r="AX94" s="154"/>
      <c r="BA94" s="36"/>
      <c r="BB94" s="36"/>
      <c r="BC94" s="36"/>
      <c r="BD94" s="36"/>
      <c r="BE94" s="36"/>
      <c r="BF94" s="36"/>
      <c r="BG94" s="36"/>
    </row>
    <row r="95" spans="1:59" ht="20.100000000000001" customHeight="1" x14ac:dyDescent="0.25">
      <c r="A95" s="125">
        <v>11</v>
      </c>
      <c r="B95" s="127"/>
      <c r="C95" s="125">
        <v>1</v>
      </c>
      <c r="D95" s="126"/>
      <c r="E95" s="127"/>
      <c r="F95" s="134">
        <f>F84+Y48+AP48</f>
        <v>0.46180555555555541</v>
      </c>
      <c r="G95" s="126"/>
      <c r="H95" s="126"/>
      <c r="I95" s="127"/>
      <c r="J95" s="125" t="str">
        <f>IF(ISBLANK(AU68),"",IF(BA68=3,AB68,J68))</f>
        <v/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 t="s">
        <v>29</v>
      </c>
      <c r="AA95" s="126"/>
      <c r="AB95" s="126" t="str">
        <f>IF(ISBLANK(AU72),"",IF(BA72=3,AB72,J72))</f>
        <v/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7"/>
      <c r="AR95" s="125"/>
      <c r="AS95" s="126"/>
      <c r="AT95" s="126" t="s">
        <v>29</v>
      </c>
      <c r="AU95" s="126"/>
      <c r="AV95" s="127"/>
      <c r="AW95" s="30"/>
      <c r="AX95" s="31"/>
      <c r="BA95" s="36">
        <f>IF(ISBLANK($AR95),0,IF($AR95&gt;$AU95,3,IF($AR95=$AU95,1,0)))</f>
        <v>0</v>
      </c>
      <c r="BB95" s="36"/>
      <c r="BC95" s="36">
        <f>IF(ISBLANK($AU95),0,IF($AR95&lt;$AU95,3,IF($AR95=$AU95,1,0)))</f>
        <v>0</v>
      </c>
      <c r="BD95" s="36"/>
      <c r="BE95" s="36"/>
      <c r="BF95" s="36"/>
      <c r="BG95" s="36"/>
    </row>
    <row r="96" spans="1:59" ht="15.75" thickBot="1" x14ac:dyDescent="0.3">
      <c r="A96" s="131"/>
      <c r="B96" s="132"/>
      <c r="C96" s="131"/>
      <c r="D96" s="133"/>
      <c r="E96" s="132"/>
      <c r="F96" s="131"/>
      <c r="G96" s="133"/>
      <c r="H96" s="133"/>
      <c r="I96" s="132"/>
      <c r="J96" s="128" t="s">
        <v>75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32"/>
      <c r="AA96" s="32"/>
      <c r="AB96" s="128" t="s">
        <v>76</v>
      </c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1"/>
      <c r="AS96" s="133"/>
      <c r="AT96" s="133"/>
      <c r="AU96" s="133"/>
      <c r="AV96" s="132"/>
      <c r="AW96" s="33"/>
      <c r="AX96" s="34"/>
      <c r="BA96" s="36"/>
      <c r="BB96" s="36"/>
      <c r="BC96" s="36"/>
      <c r="BD96" s="36"/>
      <c r="BE96" s="36"/>
      <c r="BF96" s="36"/>
      <c r="BG96" s="36"/>
    </row>
    <row r="97" spans="1:59" ht="5.0999999999999996" customHeight="1" thickBo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BA97" s="36"/>
      <c r="BB97" s="36"/>
      <c r="BC97" s="36"/>
      <c r="BD97" s="36"/>
      <c r="BE97" s="36"/>
      <c r="BF97" s="36"/>
      <c r="BG97" s="36"/>
    </row>
    <row r="98" spans="1:59" ht="20.100000000000001" customHeight="1" thickBot="1" x14ac:dyDescent="0.3">
      <c r="A98" s="150" t="s">
        <v>43</v>
      </c>
      <c r="B98" s="151"/>
      <c r="C98" s="150" t="s">
        <v>44</v>
      </c>
      <c r="D98" s="152"/>
      <c r="E98" s="151"/>
      <c r="F98" s="150" t="s">
        <v>25</v>
      </c>
      <c r="G98" s="152"/>
      <c r="H98" s="152"/>
      <c r="I98" s="151"/>
      <c r="J98" s="150" t="s">
        <v>70</v>
      </c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1"/>
      <c r="AR98" s="150" t="s">
        <v>27</v>
      </c>
      <c r="AS98" s="152"/>
      <c r="AT98" s="152"/>
      <c r="AU98" s="152"/>
      <c r="AV98" s="151"/>
      <c r="AW98" s="153"/>
      <c r="AX98" s="154"/>
      <c r="BA98" s="36"/>
      <c r="BB98" s="36"/>
      <c r="BC98" s="36"/>
      <c r="BD98" s="36"/>
      <c r="BE98" s="36"/>
      <c r="BF98" s="36"/>
      <c r="BG98" s="36"/>
    </row>
    <row r="99" spans="1:59" ht="20.100000000000001" customHeight="1" x14ac:dyDescent="0.25">
      <c r="A99" s="125">
        <v>12</v>
      </c>
      <c r="B99" s="127"/>
      <c r="C99" s="125">
        <v>2</v>
      </c>
      <c r="D99" s="126"/>
      <c r="E99" s="127"/>
      <c r="F99" s="134">
        <f>F95</f>
        <v>0.46180555555555541</v>
      </c>
      <c r="G99" s="126"/>
      <c r="H99" s="126"/>
      <c r="I99" s="127"/>
      <c r="J99" s="125" t="str">
        <f>IF(ISBLANK(AU68),"",IF(BA68=3,J68,AB68))</f>
        <v/>
      </c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 t="s">
        <v>29</v>
      </c>
      <c r="AA99" s="126"/>
      <c r="AB99" s="126" t="str">
        <f>IF(ISBLANK(AU72),"",IF(BA72=3,J72,AB72))</f>
        <v/>
      </c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7"/>
      <c r="AR99" s="125"/>
      <c r="AS99" s="126"/>
      <c r="AT99" s="126" t="s">
        <v>29</v>
      </c>
      <c r="AU99" s="126"/>
      <c r="AV99" s="127"/>
      <c r="AW99" s="30"/>
      <c r="AX99" s="31"/>
      <c r="BA99" s="36">
        <f>IF(ISBLANK($AR99),0,IF($AR99&gt;$AU99,3,IF($AR99=$AU99,1,0)))</f>
        <v>0</v>
      </c>
      <c r="BB99" s="36"/>
      <c r="BC99" s="36">
        <f>IF(ISBLANK($AU99),0,IF($AR99&lt;$AU99,3,IF($AR99=$AU99,1,0)))</f>
        <v>0</v>
      </c>
      <c r="BD99" s="36"/>
      <c r="BE99" s="36"/>
      <c r="BF99" s="36"/>
      <c r="BG99" s="36"/>
    </row>
    <row r="100" spans="1:59" ht="15.75" thickBot="1" x14ac:dyDescent="0.3">
      <c r="A100" s="131"/>
      <c r="B100" s="132"/>
      <c r="C100" s="131"/>
      <c r="D100" s="133"/>
      <c r="E100" s="132"/>
      <c r="F100" s="131"/>
      <c r="G100" s="133"/>
      <c r="H100" s="133"/>
      <c r="I100" s="132"/>
      <c r="J100" s="128" t="s">
        <v>77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32"/>
      <c r="AA100" s="32"/>
      <c r="AB100" s="128" t="s">
        <v>78</v>
      </c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1"/>
      <c r="AS100" s="133"/>
      <c r="AT100" s="133"/>
      <c r="AU100" s="133"/>
      <c r="AV100" s="132"/>
      <c r="AW100" s="33"/>
      <c r="AX100" s="34"/>
      <c r="BA100" s="36"/>
      <c r="BB100" s="36"/>
      <c r="BC100" s="36"/>
      <c r="BD100" s="36"/>
      <c r="BE100" s="36"/>
      <c r="BF100" s="36"/>
      <c r="BG100" s="36"/>
    </row>
    <row r="101" spans="1:59" ht="5.0999999999999996" customHeight="1" thickBo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BA101" s="36"/>
      <c r="BB101" s="36"/>
      <c r="BC101" s="36"/>
      <c r="BD101" s="36"/>
      <c r="BE101" s="36"/>
      <c r="BF101" s="36"/>
      <c r="BG101" s="36"/>
    </row>
    <row r="102" spans="1:59" ht="20.100000000000001" customHeight="1" thickBot="1" x14ac:dyDescent="0.3">
      <c r="A102" s="150" t="s">
        <v>43</v>
      </c>
      <c r="B102" s="151"/>
      <c r="C102" s="150" t="s">
        <v>44</v>
      </c>
      <c r="D102" s="152"/>
      <c r="E102" s="151"/>
      <c r="F102" s="150" t="s">
        <v>25</v>
      </c>
      <c r="G102" s="152"/>
      <c r="H102" s="152"/>
      <c r="I102" s="151"/>
      <c r="J102" s="150" t="s">
        <v>71</v>
      </c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1"/>
      <c r="AR102" s="150" t="s">
        <v>27</v>
      </c>
      <c r="AS102" s="152"/>
      <c r="AT102" s="152"/>
      <c r="AU102" s="152"/>
      <c r="AV102" s="151"/>
      <c r="AW102" s="153"/>
      <c r="AX102" s="154"/>
      <c r="BA102" s="36"/>
      <c r="BB102" s="36"/>
      <c r="BC102" s="36"/>
      <c r="BD102" s="36"/>
      <c r="BE102" s="36"/>
      <c r="BF102" s="36"/>
      <c r="BG102" s="36"/>
    </row>
    <row r="103" spans="1:59" ht="20.100000000000001" customHeight="1" x14ac:dyDescent="0.25">
      <c r="A103" s="125">
        <v>13</v>
      </c>
      <c r="B103" s="127"/>
      <c r="C103" s="125">
        <v>1</v>
      </c>
      <c r="D103" s="126"/>
      <c r="E103" s="127"/>
      <c r="F103" s="134">
        <f>F95+Y48+AP48</f>
        <v>0.46944444444444428</v>
      </c>
      <c r="G103" s="126"/>
      <c r="H103" s="126"/>
      <c r="I103" s="127"/>
      <c r="J103" s="125" t="str">
        <f>IF(ISBLANK(AU76),"",IF(BA76=3,AB76,J76))</f>
        <v/>
      </c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 t="s">
        <v>29</v>
      </c>
      <c r="AA103" s="126"/>
      <c r="AB103" s="126" t="str">
        <f>IF(ISBLANK(AU80),"",IF(BA80=3,AB80,J80))</f>
        <v/>
      </c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7"/>
      <c r="AR103" s="125"/>
      <c r="AS103" s="126"/>
      <c r="AT103" s="126" t="s">
        <v>29</v>
      </c>
      <c r="AU103" s="126"/>
      <c r="AV103" s="127"/>
      <c r="AW103" s="30"/>
      <c r="AX103" s="31"/>
      <c r="BA103" s="36">
        <f>IF(ISBLANK($AR103),0,IF($AR103&gt;$AU103,3,IF($AR103=$AU103,1,0)))</f>
        <v>0</v>
      </c>
      <c r="BB103" s="36"/>
      <c r="BC103" s="36">
        <f>IF(ISBLANK($AU103),0,IF($AR103&lt;$AU103,3,IF($AR103=$AU103,1,0)))</f>
        <v>0</v>
      </c>
      <c r="BD103" s="36"/>
      <c r="BE103" s="36"/>
      <c r="BF103" s="36"/>
      <c r="BG103" s="36"/>
    </row>
    <row r="104" spans="1:59" ht="15.75" thickBot="1" x14ac:dyDescent="0.3">
      <c r="A104" s="131"/>
      <c r="B104" s="132"/>
      <c r="C104" s="131"/>
      <c r="D104" s="133"/>
      <c r="E104" s="132"/>
      <c r="F104" s="131"/>
      <c r="G104" s="133"/>
      <c r="H104" s="133"/>
      <c r="I104" s="132"/>
      <c r="J104" s="128" t="s">
        <v>79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32"/>
      <c r="AA104" s="32"/>
      <c r="AB104" s="128" t="s">
        <v>80</v>
      </c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31"/>
      <c r="AS104" s="133"/>
      <c r="AT104" s="133"/>
      <c r="AU104" s="133"/>
      <c r="AV104" s="132"/>
      <c r="AW104" s="33"/>
      <c r="AX104" s="34"/>
      <c r="BA104" s="36"/>
      <c r="BB104" s="36"/>
      <c r="BC104" s="36"/>
      <c r="BD104" s="36"/>
      <c r="BE104" s="36"/>
      <c r="BF104" s="36"/>
      <c r="BG104" s="36"/>
    </row>
    <row r="105" spans="1:59" ht="5.0999999999999996" customHeight="1" thickBo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BA105" s="36"/>
      <c r="BB105" s="36"/>
      <c r="BC105" s="36"/>
      <c r="BD105" s="36"/>
      <c r="BE105" s="36"/>
      <c r="BF105" s="36"/>
      <c r="BG105" s="36"/>
    </row>
    <row r="106" spans="1:59" ht="20.100000000000001" customHeight="1" thickBot="1" x14ac:dyDescent="0.3">
      <c r="A106" s="150" t="s">
        <v>43</v>
      </c>
      <c r="B106" s="151"/>
      <c r="C106" s="150" t="s">
        <v>44</v>
      </c>
      <c r="D106" s="152"/>
      <c r="E106" s="151"/>
      <c r="F106" s="150" t="s">
        <v>25</v>
      </c>
      <c r="G106" s="152"/>
      <c r="H106" s="152"/>
      <c r="I106" s="151"/>
      <c r="J106" s="150" t="s">
        <v>72</v>
      </c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1"/>
      <c r="AR106" s="150" t="s">
        <v>27</v>
      </c>
      <c r="AS106" s="152"/>
      <c r="AT106" s="152"/>
      <c r="AU106" s="152"/>
      <c r="AV106" s="151"/>
      <c r="AW106" s="153"/>
      <c r="AX106" s="154"/>
      <c r="BA106" s="36"/>
      <c r="BB106" s="36"/>
      <c r="BC106" s="36"/>
      <c r="BD106" s="36"/>
      <c r="BE106" s="36"/>
      <c r="BF106" s="36"/>
      <c r="BG106" s="36"/>
    </row>
    <row r="107" spans="1:59" ht="20.100000000000001" customHeight="1" x14ac:dyDescent="0.25">
      <c r="A107" s="125">
        <v>14</v>
      </c>
      <c r="B107" s="127"/>
      <c r="C107" s="125">
        <v>2</v>
      </c>
      <c r="D107" s="126"/>
      <c r="E107" s="127"/>
      <c r="F107" s="134">
        <f>F103</f>
        <v>0.46944444444444428</v>
      </c>
      <c r="G107" s="126"/>
      <c r="H107" s="126"/>
      <c r="I107" s="127"/>
      <c r="J107" s="125" t="str">
        <f>IF(ISBLANK(AU76),"",IF(BA76=3,J76,AB76))</f>
        <v/>
      </c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 t="s">
        <v>29</v>
      </c>
      <c r="AA107" s="126"/>
      <c r="AB107" s="126" t="str">
        <f>IF(ISBLANK(AU80),"",IF(BA80=3,J80,AB80))</f>
        <v/>
      </c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7"/>
      <c r="AR107" s="125"/>
      <c r="AS107" s="126"/>
      <c r="AT107" s="126" t="s">
        <v>29</v>
      </c>
      <c r="AU107" s="126"/>
      <c r="AV107" s="127"/>
      <c r="AW107" s="30"/>
      <c r="AX107" s="31"/>
      <c r="BA107" s="36">
        <f>IF(ISBLANK($AR107),0,IF($AR107&gt;$AU107,3,IF($AR107=$AU107,1,0)))</f>
        <v>0</v>
      </c>
      <c r="BB107" s="36"/>
      <c r="BC107" s="36">
        <f>IF(ISBLANK($AU107),0,IF($AR107&lt;$AU107,3,IF($AR107=$AU107,1,0)))</f>
        <v>0</v>
      </c>
      <c r="BD107" s="36"/>
      <c r="BE107" s="36"/>
      <c r="BF107" s="36"/>
      <c r="BG107" s="36"/>
    </row>
    <row r="108" spans="1:59" ht="15.75" thickBot="1" x14ac:dyDescent="0.3">
      <c r="A108" s="131"/>
      <c r="B108" s="132"/>
      <c r="C108" s="131"/>
      <c r="D108" s="133"/>
      <c r="E108" s="132"/>
      <c r="F108" s="131"/>
      <c r="G108" s="133"/>
      <c r="H108" s="133"/>
      <c r="I108" s="132"/>
      <c r="J108" s="128" t="s">
        <v>81</v>
      </c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32"/>
      <c r="AA108" s="32"/>
      <c r="AB108" s="128" t="s">
        <v>82</v>
      </c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31"/>
      <c r="AS108" s="133"/>
      <c r="AT108" s="133"/>
      <c r="AU108" s="133"/>
      <c r="AV108" s="132"/>
      <c r="AW108" s="33"/>
      <c r="AX108" s="34"/>
      <c r="BA108" s="36"/>
      <c r="BB108" s="36"/>
      <c r="BC108" s="36"/>
      <c r="BD108" s="36"/>
      <c r="BE108" s="36"/>
      <c r="BF108" s="36"/>
      <c r="BG108" s="36"/>
    </row>
    <row r="109" spans="1:59" ht="5.0999999999999996" customHeight="1" thickBot="1" x14ac:dyDescent="0.3">
      <c r="BA109" s="36"/>
      <c r="BB109" s="36"/>
      <c r="BC109" s="36"/>
      <c r="BD109" s="36"/>
      <c r="BE109" s="36"/>
      <c r="BF109" s="36"/>
      <c r="BG109" s="36"/>
    </row>
    <row r="110" spans="1:59" ht="20.100000000000001" customHeight="1" thickBot="1" x14ac:dyDescent="0.3">
      <c r="A110" s="150" t="s">
        <v>43</v>
      </c>
      <c r="B110" s="151"/>
      <c r="C110" s="150" t="s">
        <v>44</v>
      </c>
      <c r="D110" s="152"/>
      <c r="E110" s="151"/>
      <c r="F110" s="150" t="s">
        <v>25</v>
      </c>
      <c r="G110" s="152"/>
      <c r="H110" s="152"/>
      <c r="I110" s="151"/>
      <c r="J110" s="150" t="s">
        <v>73</v>
      </c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1"/>
      <c r="AR110" s="150" t="s">
        <v>27</v>
      </c>
      <c r="AS110" s="152"/>
      <c r="AT110" s="152"/>
      <c r="AU110" s="152"/>
      <c r="AV110" s="151"/>
      <c r="AW110" s="153"/>
      <c r="AX110" s="154"/>
      <c r="BA110" s="36"/>
      <c r="BB110" s="36"/>
      <c r="BC110" s="36"/>
      <c r="BD110" s="36"/>
      <c r="BE110" s="36"/>
      <c r="BF110" s="36"/>
      <c r="BG110" s="36"/>
    </row>
    <row r="111" spans="1:59" ht="20.100000000000001" customHeight="1" x14ac:dyDescent="0.25">
      <c r="A111" s="125">
        <v>15</v>
      </c>
      <c r="B111" s="127"/>
      <c r="C111" s="125">
        <v>1</v>
      </c>
      <c r="D111" s="126"/>
      <c r="E111" s="127"/>
      <c r="F111" s="134">
        <f>F103+Y48+AP48</f>
        <v>0.47708333333333314</v>
      </c>
      <c r="G111" s="126"/>
      <c r="H111" s="126"/>
      <c r="I111" s="127"/>
      <c r="J111" s="125" t="str">
        <f>IF(ISBLANK(AU84),"",IF(BA84=3,AB84,J84))</f>
        <v/>
      </c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 t="s">
        <v>29</v>
      </c>
      <c r="AA111" s="126"/>
      <c r="AB111" s="126" t="str">
        <f>IF(ISBLANK(AU88),"",IF(BA88=3,AB88,J88))</f>
        <v/>
      </c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7"/>
      <c r="AR111" s="125"/>
      <c r="AS111" s="126"/>
      <c r="AT111" s="126" t="s">
        <v>29</v>
      </c>
      <c r="AU111" s="126"/>
      <c r="AV111" s="127"/>
      <c r="AW111" s="30"/>
      <c r="AX111" s="31"/>
      <c r="BA111" s="36">
        <f>IF(ISBLANK($AR111),0,IF($AR111&gt;$AU111,3,IF($AR111=$AU111,1,0)))</f>
        <v>0</v>
      </c>
      <c r="BB111" s="36"/>
      <c r="BC111" s="36">
        <f>IF(ISBLANK($AU111),0,IF($AR111&lt;$AU111,3,IF($AR111=$AU111,1,0)))</f>
        <v>0</v>
      </c>
      <c r="BD111" s="36"/>
      <c r="BE111" s="36"/>
      <c r="BF111" s="36"/>
      <c r="BG111" s="36"/>
    </row>
    <row r="112" spans="1:59" ht="15.75" thickBot="1" x14ac:dyDescent="0.3">
      <c r="A112" s="131"/>
      <c r="B112" s="132"/>
      <c r="C112" s="131"/>
      <c r="D112" s="133"/>
      <c r="E112" s="132"/>
      <c r="F112" s="131"/>
      <c r="G112" s="133"/>
      <c r="H112" s="133"/>
      <c r="I112" s="132"/>
      <c r="J112" s="128" t="s">
        <v>83</v>
      </c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32"/>
      <c r="AA112" s="32"/>
      <c r="AB112" s="128" t="s">
        <v>84</v>
      </c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31"/>
      <c r="AS112" s="133"/>
      <c r="AT112" s="133"/>
      <c r="AU112" s="133"/>
      <c r="AV112" s="132"/>
      <c r="AW112" s="33"/>
      <c r="AX112" s="34"/>
      <c r="BA112" s="36"/>
      <c r="BB112" s="36"/>
      <c r="BC112" s="36"/>
      <c r="BD112" s="36"/>
      <c r="BE112" s="36"/>
      <c r="BF112" s="36"/>
      <c r="BG112" s="36"/>
    </row>
    <row r="113" spans="1:59" ht="5.0999999999999996" customHeight="1" thickBo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BA113" s="36"/>
      <c r="BB113" s="36"/>
      <c r="BC113" s="36"/>
      <c r="BD113" s="36"/>
      <c r="BE113" s="36"/>
      <c r="BF113" s="36"/>
      <c r="BG113" s="36"/>
    </row>
    <row r="114" spans="1:59" ht="20.100000000000001" customHeight="1" thickBot="1" x14ac:dyDescent="0.3">
      <c r="A114" s="150" t="s">
        <v>43</v>
      </c>
      <c r="B114" s="151"/>
      <c r="C114" s="150" t="s">
        <v>44</v>
      </c>
      <c r="D114" s="152"/>
      <c r="E114" s="151"/>
      <c r="F114" s="150" t="s">
        <v>25</v>
      </c>
      <c r="G114" s="152"/>
      <c r="H114" s="152"/>
      <c r="I114" s="151"/>
      <c r="J114" s="150" t="s">
        <v>74</v>
      </c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1"/>
      <c r="AR114" s="150" t="s">
        <v>27</v>
      </c>
      <c r="AS114" s="152"/>
      <c r="AT114" s="152"/>
      <c r="AU114" s="152"/>
      <c r="AV114" s="151"/>
      <c r="AW114" s="153"/>
      <c r="AX114" s="154"/>
      <c r="BA114" s="36"/>
      <c r="BB114" s="36"/>
      <c r="BC114" s="36"/>
      <c r="BD114" s="36"/>
      <c r="BE114" s="36"/>
      <c r="BF114" s="36"/>
      <c r="BG114" s="36"/>
    </row>
    <row r="115" spans="1:59" ht="20.100000000000001" customHeight="1" x14ac:dyDescent="0.25">
      <c r="A115" s="125">
        <v>16</v>
      </c>
      <c r="B115" s="127"/>
      <c r="C115" s="125">
        <v>2</v>
      </c>
      <c r="D115" s="126"/>
      <c r="E115" s="127"/>
      <c r="F115" s="134">
        <f>F111</f>
        <v>0.47708333333333314</v>
      </c>
      <c r="G115" s="126"/>
      <c r="H115" s="126"/>
      <c r="I115" s="127"/>
      <c r="J115" s="125" t="str">
        <f>IF(ISBLANK(AU84),"",IF(BA84=3,J84,AB84))</f>
        <v/>
      </c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 t="s">
        <v>29</v>
      </c>
      <c r="AA115" s="126"/>
      <c r="AB115" s="126" t="str">
        <f>IF(ISBLANK(AU88),"",IF(BA88=3,J88,AB88))</f>
        <v/>
      </c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7"/>
      <c r="AR115" s="125"/>
      <c r="AS115" s="126"/>
      <c r="AT115" s="126" t="s">
        <v>29</v>
      </c>
      <c r="AU115" s="126"/>
      <c r="AV115" s="127"/>
      <c r="AW115" s="30"/>
      <c r="AX115" s="31"/>
      <c r="BA115" s="36">
        <f>IF(ISBLANK($AR115),0,IF($AR115&gt;$AU115,3,IF($AR115=$AU115,1,0)))</f>
        <v>0</v>
      </c>
      <c r="BB115" s="36"/>
      <c r="BC115" s="36">
        <f>IF(ISBLANK($AU115),0,IF($AR115&lt;$AU115,3,IF($AR115=$AU115,1,0)))</f>
        <v>0</v>
      </c>
      <c r="BD115" s="36"/>
      <c r="BE115" s="36"/>
      <c r="BF115" s="36"/>
      <c r="BG115" s="36"/>
    </row>
    <row r="116" spans="1:59" ht="15.75" thickBot="1" x14ac:dyDescent="0.3">
      <c r="A116" s="131"/>
      <c r="B116" s="132"/>
      <c r="C116" s="131"/>
      <c r="D116" s="133"/>
      <c r="E116" s="132"/>
      <c r="F116" s="131"/>
      <c r="G116" s="133"/>
      <c r="H116" s="133"/>
      <c r="I116" s="132"/>
      <c r="J116" s="128" t="s">
        <v>85</v>
      </c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32"/>
      <c r="AA116" s="32"/>
      <c r="AB116" s="128" t="s">
        <v>86</v>
      </c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31"/>
      <c r="AS116" s="133"/>
      <c r="AT116" s="133"/>
      <c r="AU116" s="133"/>
      <c r="AV116" s="132"/>
      <c r="AW116" s="33"/>
      <c r="AX116" s="34"/>
      <c r="BA116" s="36"/>
      <c r="BB116" s="36"/>
      <c r="BC116" s="36"/>
      <c r="BD116" s="36"/>
      <c r="BE116" s="36"/>
      <c r="BF116" s="36"/>
      <c r="BG116" s="36"/>
    </row>
    <row r="118" spans="1:59" ht="15.75" thickBot="1" x14ac:dyDescent="0.3">
      <c r="A118" s="19" t="s">
        <v>87</v>
      </c>
    </row>
    <row r="119" spans="1:59" ht="20.100000000000001" customHeight="1" x14ac:dyDescent="0.25">
      <c r="E119" s="155" t="s">
        <v>88</v>
      </c>
      <c r="F119" s="156"/>
      <c r="G119" s="156"/>
      <c r="H119" s="156" t="str">
        <f>IF(ISBLANK(AU115),"",IF(BA115=3,J115,AB115))</f>
        <v/>
      </c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7"/>
    </row>
    <row r="120" spans="1:59" ht="20.100000000000001" customHeight="1" x14ac:dyDescent="0.25">
      <c r="E120" s="158" t="s">
        <v>89</v>
      </c>
      <c r="F120" s="159"/>
      <c r="G120" s="159"/>
      <c r="H120" s="159" t="str">
        <f>IF(ISBLANK(AU115),"",IF(BA115=3,AB115,J115))</f>
        <v/>
      </c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60"/>
    </row>
    <row r="121" spans="1:59" ht="20.100000000000001" customHeight="1" x14ac:dyDescent="0.25">
      <c r="E121" s="158" t="s">
        <v>90</v>
      </c>
      <c r="F121" s="159"/>
      <c r="G121" s="159"/>
      <c r="H121" s="159" t="str">
        <f>IF(ISBLANK(AU111),"",IF(BA111=3,J111,AB111))</f>
        <v/>
      </c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60"/>
    </row>
    <row r="122" spans="1:59" ht="20.100000000000001" customHeight="1" x14ac:dyDescent="0.25">
      <c r="E122" s="158" t="s">
        <v>91</v>
      </c>
      <c r="F122" s="159"/>
      <c r="G122" s="159"/>
      <c r="H122" s="159" t="str">
        <f>IF(ISBLANK(AU111),"",IF(BA111=3,AB111,J111))</f>
        <v/>
      </c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60"/>
    </row>
    <row r="123" spans="1:59" ht="20.100000000000001" customHeight="1" x14ac:dyDescent="0.25">
      <c r="E123" s="158" t="s">
        <v>92</v>
      </c>
      <c r="F123" s="159"/>
      <c r="G123" s="159"/>
      <c r="H123" s="159" t="str">
        <f>IF(ISBLANK(AU107),"",IF(BA107=3,J107,AB107))</f>
        <v/>
      </c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60"/>
    </row>
    <row r="124" spans="1:59" ht="20.100000000000001" customHeight="1" x14ac:dyDescent="0.25">
      <c r="E124" s="158" t="s">
        <v>93</v>
      </c>
      <c r="F124" s="159"/>
      <c r="G124" s="159"/>
      <c r="H124" s="159" t="str">
        <f>IF(ISBLANK(AU107),"",IF(BA107=3,AB107,J107))</f>
        <v/>
      </c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60"/>
    </row>
    <row r="125" spans="1:59" ht="20.100000000000001" customHeight="1" x14ac:dyDescent="0.25">
      <c r="E125" s="158" t="s">
        <v>94</v>
      </c>
      <c r="F125" s="159"/>
      <c r="G125" s="159"/>
      <c r="H125" s="159" t="str">
        <f>IF(ISBLANK(AU103),"",IF(BA103=3,J103,AB103))</f>
        <v/>
      </c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60"/>
    </row>
    <row r="126" spans="1:59" ht="20.100000000000001" customHeight="1" x14ac:dyDescent="0.25">
      <c r="E126" s="158" t="s">
        <v>95</v>
      </c>
      <c r="F126" s="159"/>
      <c r="G126" s="159"/>
      <c r="H126" s="159" t="str">
        <f>IF(ISBLANK(AU103),"",IF(BA103=3,AB103,J103))</f>
        <v/>
      </c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60"/>
    </row>
    <row r="127" spans="1:59" ht="20.100000000000001" customHeight="1" x14ac:dyDescent="0.25">
      <c r="E127" s="158" t="s">
        <v>96</v>
      </c>
      <c r="F127" s="159"/>
      <c r="G127" s="159"/>
      <c r="H127" s="159" t="str">
        <f>IF(ISBLANK(AU99),"",IF(BA99=3,J99,AB99))</f>
        <v/>
      </c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60"/>
    </row>
    <row r="128" spans="1:59" ht="20.100000000000001" customHeight="1" x14ac:dyDescent="0.25">
      <c r="E128" s="158" t="s">
        <v>97</v>
      </c>
      <c r="F128" s="159"/>
      <c r="G128" s="159"/>
      <c r="H128" s="159" t="str">
        <f>IF(ISBLANK(AU99),"",IF(BA99=3,AB99,J99))</f>
        <v/>
      </c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60"/>
    </row>
    <row r="129" spans="5:45" ht="20.100000000000001" customHeight="1" x14ac:dyDescent="0.25">
      <c r="E129" s="158" t="s">
        <v>98</v>
      </c>
      <c r="F129" s="159"/>
      <c r="G129" s="159"/>
      <c r="H129" s="159" t="str">
        <f>IF(ISBLANK(AU95),"",IF(BA95=3,J95,AB95))</f>
        <v/>
      </c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60"/>
    </row>
    <row r="130" spans="5:45" ht="20.100000000000001" customHeight="1" thickBot="1" x14ac:dyDescent="0.3">
      <c r="E130" s="161" t="s">
        <v>99</v>
      </c>
      <c r="F130" s="162"/>
      <c r="G130" s="162"/>
      <c r="H130" s="162" t="str">
        <f>IF(ISBLANK(AU95),"",IF(BA95=3,AB95,J95))</f>
        <v/>
      </c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3"/>
    </row>
    <row r="133" spans="5:45" ht="5.0999999999999996" customHeight="1" x14ac:dyDescent="0.25"/>
  </sheetData>
  <mergeCells count="521">
    <mergeCell ref="E129:G129"/>
    <mergeCell ref="H129:AS129"/>
    <mergeCell ref="E130:G130"/>
    <mergeCell ref="H130:AS130"/>
    <mergeCell ref="E124:G124"/>
    <mergeCell ref="H124:AS124"/>
    <mergeCell ref="E125:G125"/>
    <mergeCell ref="H125:AS125"/>
    <mergeCell ref="E126:G126"/>
    <mergeCell ref="H126:AS126"/>
    <mergeCell ref="E127:G127"/>
    <mergeCell ref="H127:AS127"/>
    <mergeCell ref="E128:G128"/>
    <mergeCell ref="H128:AS128"/>
    <mergeCell ref="E119:G119"/>
    <mergeCell ref="H119:AS119"/>
    <mergeCell ref="E120:G120"/>
    <mergeCell ref="H120:AS120"/>
    <mergeCell ref="E121:G121"/>
    <mergeCell ref="H121:AS121"/>
    <mergeCell ref="E122:G122"/>
    <mergeCell ref="H122:AS122"/>
    <mergeCell ref="E123:G123"/>
    <mergeCell ref="H123:AS123"/>
    <mergeCell ref="A114:B114"/>
    <mergeCell ref="C114:E114"/>
    <mergeCell ref="F114:I114"/>
    <mergeCell ref="J114:AQ114"/>
    <mergeCell ref="AR114:AV114"/>
    <mergeCell ref="AW114:AX114"/>
    <mergeCell ref="A115:B116"/>
    <mergeCell ref="C115:E116"/>
    <mergeCell ref="F115:I116"/>
    <mergeCell ref="J115:Y115"/>
    <mergeCell ref="Z115:AA115"/>
    <mergeCell ref="AB115:AQ115"/>
    <mergeCell ref="AR115:AS116"/>
    <mergeCell ref="AT115:AT116"/>
    <mergeCell ref="AU115:AV116"/>
    <mergeCell ref="J116:Y116"/>
    <mergeCell ref="AB116:AQ116"/>
    <mergeCell ref="A110:B110"/>
    <mergeCell ref="C110:E110"/>
    <mergeCell ref="F110:I110"/>
    <mergeCell ref="J110:AQ110"/>
    <mergeCell ref="AR110:AV110"/>
    <mergeCell ref="AW110:AX110"/>
    <mergeCell ref="A111:B112"/>
    <mergeCell ref="C111:E112"/>
    <mergeCell ref="F111:I112"/>
    <mergeCell ref="J111:Y111"/>
    <mergeCell ref="Z111:AA111"/>
    <mergeCell ref="AB111:AQ111"/>
    <mergeCell ref="AR111:AS112"/>
    <mergeCell ref="AT111:AT112"/>
    <mergeCell ref="AU111:AV112"/>
    <mergeCell ref="J112:Y112"/>
    <mergeCell ref="AB112:AQ112"/>
    <mergeCell ref="A106:B106"/>
    <mergeCell ref="C106:E106"/>
    <mergeCell ref="F106:I106"/>
    <mergeCell ref="J106:AQ106"/>
    <mergeCell ref="AR106:AV106"/>
    <mergeCell ref="AW106:AX106"/>
    <mergeCell ref="A107:B108"/>
    <mergeCell ref="C107:E108"/>
    <mergeCell ref="F107:I108"/>
    <mergeCell ref="J107:Y107"/>
    <mergeCell ref="Z107:AA107"/>
    <mergeCell ref="AB107:AQ107"/>
    <mergeCell ref="AR107:AS108"/>
    <mergeCell ref="AT107:AT108"/>
    <mergeCell ref="AU107:AV108"/>
    <mergeCell ref="J108:Y108"/>
    <mergeCell ref="AB108:AQ108"/>
    <mergeCell ref="A102:B102"/>
    <mergeCell ref="C102:E102"/>
    <mergeCell ref="F102:I102"/>
    <mergeCell ref="J102:AQ102"/>
    <mergeCell ref="AR102:AV102"/>
    <mergeCell ref="AW102:AX102"/>
    <mergeCell ref="A103:B104"/>
    <mergeCell ref="C103:E104"/>
    <mergeCell ref="F103:I104"/>
    <mergeCell ref="J103:Y103"/>
    <mergeCell ref="Z103:AA103"/>
    <mergeCell ref="AB103:AQ103"/>
    <mergeCell ref="AR103:AS104"/>
    <mergeCell ref="AT103:AT104"/>
    <mergeCell ref="AU103:AV104"/>
    <mergeCell ref="J104:Y104"/>
    <mergeCell ref="AB104:AQ104"/>
    <mergeCell ref="A98:B98"/>
    <mergeCell ref="C98:E98"/>
    <mergeCell ref="F98:I98"/>
    <mergeCell ref="J98:AQ98"/>
    <mergeCell ref="AR98:AV98"/>
    <mergeCell ref="AW98:AX98"/>
    <mergeCell ref="A99:B100"/>
    <mergeCell ref="C99:E100"/>
    <mergeCell ref="F99:I100"/>
    <mergeCell ref="J99:Y99"/>
    <mergeCell ref="Z99:AA99"/>
    <mergeCell ref="AB99:AQ99"/>
    <mergeCell ref="AR99:AS100"/>
    <mergeCell ref="AT99:AT100"/>
    <mergeCell ref="AU99:AV100"/>
    <mergeCell ref="J100:Y100"/>
    <mergeCell ref="AB100:AQ100"/>
    <mergeCell ref="A94:B94"/>
    <mergeCell ref="C94:E94"/>
    <mergeCell ref="F94:I94"/>
    <mergeCell ref="J94:AQ94"/>
    <mergeCell ref="AR94:AV94"/>
    <mergeCell ref="AW94:AX94"/>
    <mergeCell ref="A95:B96"/>
    <mergeCell ref="C95:E96"/>
    <mergeCell ref="F95:I96"/>
    <mergeCell ref="J95:Y95"/>
    <mergeCell ref="Z95:AA95"/>
    <mergeCell ref="AB95:AQ95"/>
    <mergeCell ref="AR95:AS96"/>
    <mergeCell ref="AT95:AT96"/>
    <mergeCell ref="AU95:AV96"/>
    <mergeCell ref="J96:Y96"/>
    <mergeCell ref="AB96:AQ96"/>
    <mergeCell ref="A87:B87"/>
    <mergeCell ref="C87:E87"/>
    <mergeCell ref="F87:I87"/>
    <mergeCell ref="J87:AQ87"/>
    <mergeCell ref="AR87:AV87"/>
    <mergeCell ref="AW87:AX87"/>
    <mergeCell ref="A88:B89"/>
    <mergeCell ref="C88:E89"/>
    <mergeCell ref="F88:I89"/>
    <mergeCell ref="J88:Y88"/>
    <mergeCell ref="Z88:AA88"/>
    <mergeCell ref="AB88:AQ88"/>
    <mergeCell ref="AR88:AS89"/>
    <mergeCell ref="AT88:AT89"/>
    <mergeCell ref="AU88:AV89"/>
    <mergeCell ref="J89:Y89"/>
    <mergeCell ref="AB89:AQ89"/>
    <mergeCell ref="F83:I83"/>
    <mergeCell ref="J83:AQ83"/>
    <mergeCell ref="AR83:AV83"/>
    <mergeCell ref="AW83:AX83"/>
    <mergeCell ref="A84:B85"/>
    <mergeCell ref="C84:E85"/>
    <mergeCell ref="F84:I85"/>
    <mergeCell ref="J84:Y84"/>
    <mergeCell ref="Z84:AA84"/>
    <mergeCell ref="AB84:AQ84"/>
    <mergeCell ref="AR84:AS85"/>
    <mergeCell ref="AT84:AT85"/>
    <mergeCell ref="AU84:AV85"/>
    <mergeCell ref="J85:Y85"/>
    <mergeCell ref="AB85:AQ85"/>
    <mergeCell ref="A83:B83"/>
    <mergeCell ref="C83:E83"/>
    <mergeCell ref="F79:I79"/>
    <mergeCell ref="J79:AQ79"/>
    <mergeCell ref="AR79:AV79"/>
    <mergeCell ref="AW79:AX79"/>
    <mergeCell ref="A80:B81"/>
    <mergeCell ref="C80:E81"/>
    <mergeCell ref="F80:I81"/>
    <mergeCell ref="J80:Y80"/>
    <mergeCell ref="Z80:AA80"/>
    <mergeCell ref="AB80:AQ80"/>
    <mergeCell ref="AR80:AS81"/>
    <mergeCell ref="AT80:AT81"/>
    <mergeCell ref="AU80:AV81"/>
    <mergeCell ref="J81:Y81"/>
    <mergeCell ref="AB81:AQ81"/>
    <mergeCell ref="A79:B79"/>
    <mergeCell ref="C79:E79"/>
    <mergeCell ref="F75:I75"/>
    <mergeCell ref="J75:AQ75"/>
    <mergeCell ref="AR75:AV75"/>
    <mergeCell ref="AW75:AX75"/>
    <mergeCell ref="A76:B77"/>
    <mergeCell ref="C76:E77"/>
    <mergeCell ref="F76:I77"/>
    <mergeCell ref="J76:Y76"/>
    <mergeCell ref="Z76:AA76"/>
    <mergeCell ref="AB76:AQ76"/>
    <mergeCell ref="AR76:AS77"/>
    <mergeCell ref="AT76:AT77"/>
    <mergeCell ref="AU76:AV77"/>
    <mergeCell ref="J77:Y77"/>
    <mergeCell ref="AB77:AQ77"/>
    <mergeCell ref="A75:B75"/>
    <mergeCell ref="C75:E75"/>
    <mergeCell ref="F71:I71"/>
    <mergeCell ref="J71:AQ71"/>
    <mergeCell ref="AR71:AV71"/>
    <mergeCell ref="AW71:AX71"/>
    <mergeCell ref="A72:B73"/>
    <mergeCell ref="C72:E73"/>
    <mergeCell ref="F72:I73"/>
    <mergeCell ref="J72:Y72"/>
    <mergeCell ref="Z72:AA72"/>
    <mergeCell ref="AB72:AQ72"/>
    <mergeCell ref="AR72:AS73"/>
    <mergeCell ref="AT72:AT73"/>
    <mergeCell ref="AU72:AV73"/>
    <mergeCell ref="J73:Y73"/>
    <mergeCell ref="AB73:AQ73"/>
    <mergeCell ref="A71:B71"/>
    <mergeCell ref="C71:E71"/>
    <mergeCell ref="A68:B69"/>
    <mergeCell ref="C68:E69"/>
    <mergeCell ref="F68:I69"/>
    <mergeCell ref="J68:Y68"/>
    <mergeCell ref="Z68:AA68"/>
    <mergeCell ref="AB68:AQ68"/>
    <mergeCell ref="AR68:AS69"/>
    <mergeCell ref="AT68:AT69"/>
    <mergeCell ref="AU68:AV69"/>
    <mergeCell ref="J69:Y69"/>
    <mergeCell ref="AB69:AQ69"/>
    <mergeCell ref="A59:B59"/>
    <mergeCell ref="C59:E59"/>
    <mergeCell ref="F59:I59"/>
    <mergeCell ref="J59:AQ59"/>
    <mergeCell ref="AR59:AV59"/>
    <mergeCell ref="AW59:AX59"/>
    <mergeCell ref="A60:B61"/>
    <mergeCell ref="C60:E61"/>
    <mergeCell ref="F60:I61"/>
    <mergeCell ref="J60:Y60"/>
    <mergeCell ref="Z60:AA60"/>
    <mergeCell ref="AB60:AQ60"/>
    <mergeCell ref="AR60:AS61"/>
    <mergeCell ref="AT60:AT61"/>
    <mergeCell ref="AU60:AV61"/>
    <mergeCell ref="J61:Y61"/>
    <mergeCell ref="AB61:AQ61"/>
    <mergeCell ref="A63:B63"/>
    <mergeCell ref="C63:E63"/>
    <mergeCell ref="F63:I63"/>
    <mergeCell ref="J63:AQ63"/>
    <mergeCell ref="AR63:AV63"/>
    <mergeCell ref="AW63:AX63"/>
    <mergeCell ref="A64:B65"/>
    <mergeCell ref="C64:E65"/>
    <mergeCell ref="A67:B67"/>
    <mergeCell ref="C67:E67"/>
    <mergeCell ref="F64:I65"/>
    <mergeCell ref="J64:Y64"/>
    <mergeCell ref="Z64:AA64"/>
    <mergeCell ref="AB64:AQ64"/>
    <mergeCell ref="AR64:AS65"/>
    <mergeCell ref="AT64:AT65"/>
    <mergeCell ref="AU64:AV65"/>
    <mergeCell ref="J65:Y65"/>
    <mergeCell ref="AB65:AQ65"/>
    <mergeCell ref="F67:I67"/>
    <mergeCell ref="J67:AQ67"/>
    <mergeCell ref="AR67:AV67"/>
    <mergeCell ref="AW67:AX67"/>
    <mergeCell ref="AW55:AX55"/>
    <mergeCell ref="A56:B57"/>
    <mergeCell ref="C56:E57"/>
    <mergeCell ref="F56:I57"/>
    <mergeCell ref="J56:Y56"/>
    <mergeCell ref="Z56:AA56"/>
    <mergeCell ref="AB56:AQ56"/>
    <mergeCell ref="AR56:AS57"/>
    <mergeCell ref="AT56:AT57"/>
    <mergeCell ref="AU56:AV57"/>
    <mergeCell ref="J57:Y57"/>
    <mergeCell ref="AB57:AQ57"/>
    <mergeCell ref="J53:Y53"/>
    <mergeCell ref="AB53:AQ53"/>
    <mergeCell ref="A52:B53"/>
    <mergeCell ref="C52:E53"/>
    <mergeCell ref="F52:I53"/>
    <mergeCell ref="AR52:AS53"/>
    <mergeCell ref="AT52:AT53"/>
    <mergeCell ref="AU52:AV53"/>
    <mergeCell ref="A55:B55"/>
    <mergeCell ref="C55:E55"/>
    <mergeCell ref="F55:I55"/>
    <mergeCell ref="J55:AQ55"/>
    <mergeCell ref="AR55:AV55"/>
    <mergeCell ref="A51:B51"/>
    <mergeCell ref="C51:E51"/>
    <mergeCell ref="F51:I51"/>
    <mergeCell ref="AW51:AX51"/>
    <mergeCell ref="AR51:AV51"/>
    <mergeCell ref="J52:Y52"/>
    <mergeCell ref="AB52:AQ52"/>
    <mergeCell ref="Z52:AA52"/>
    <mergeCell ref="J51:AQ51"/>
    <mergeCell ref="B48:F48"/>
    <mergeCell ref="G48:K48"/>
    <mergeCell ref="L48:N48"/>
    <mergeCell ref="S48:X48"/>
    <mergeCell ref="Y48:AC48"/>
    <mergeCell ref="AD48:AF48"/>
    <mergeCell ref="AK48:AO48"/>
    <mergeCell ref="AP48:AT48"/>
    <mergeCell ref="AU48:AW48"/>
    <mergeCell ref="AC12:AX12"/>
    <mergeCell ref="A13:B13"/>
    <mergeCell ref="A20:B20"/>
    <mergeCell ref="C20:V20"/>
    <mergeCell ref="AC20:AD20"/>
    <mergeCell ref="AU9:AW9"/>
    <mergeCell ref="A15:B15"/>
    <mergeCell ref="A12:V12"/>
    <mergeCell ref="M6:AL6"/>
    <mergeCell ref="A7:AX7"/>
    <mergeCell ref="B9:F9"/>
    <mergeCell ref="G9:K9"/>
    <mergeCell ref="L9:N9"/>
    <mergeCell ref="S9:X9"/>
    <mergeCell ref="Y9:AC9"/>
    <mergeCell ref="AD9:AF9"/>
    <mergeCell ref="AK9:AO9"/>
    <mergeCell ref="AP9:AT9"/>
    <mergeCell ref="AE13:AX13"/>
    <mergeCell ref="AE14:AX14"/>
    <mergeCell ref="AE15:AX15"/>
    <mergeCell ref="A17:V17"/>
    <mergeCell ref="AC17:AX17"/>
    <mergeCell ref="A14:B14"/>
    <mergeCell ref="AC13:AD13"/>
    <mergeCell ref="AC14:AD14"/>
    <mergeCell ref="AC15:AD15"/>
    <mergeCell ref="C13:V13"/>
    <mergeCell ref="C14:V14"/>
    <mergeCell ref="C15:V15"/>
    <mergeCell ref="AE20:AX20"/>
    <mergeCell ref="A18:B18"/>
    <mergeCell ref="C18:V18"/>
    <mergeCell ref="AC18:AD18"/>
    <mergeCell ref="AE18:AX18"/>
    <mergeCell ref="A19:B19"/>
    <mergeCell ref="C19:V19"/>
    <mergeCell ref="AC19:AD19"/>
    <mergeCell ref="AE19:AX19"/>
    <mergeCell ref="AU24:AW24"/>
    <mergeCell ref="B25:C25"/>
    <mergeCell ref="D25:H25"/>
    <mergeCell ref="I25:X25"/>
    <mergeCell ref="Z25:AO25"/>
    <mergeCell ref="AP25:AQ25"/>
    <mergeCell ref="AS25:AT25"/>
    <mergeCell ref="AU25:AW25"/>
    <mergeCell ref="B23:C23"/>
    <mergeCell ref="D23:H23"/>
    <mergeCell ref="I23:AO23"/>
    <mergeCell ref="AP23:AT23"/>
    <mergeCell ref="AU23:AW23"/>
    <mergeCell ref="B24:C24"/>
    <mergeCell ref="D24:H24"/>
    <mergeCell ref="I24:X24"/>
    <mergeCell ref="Z24:AO24"/>
    <mergeCell ref="AP24:AQ24"/>
    <mergeCell ref="AS24:AT24"/>
    <mergeCell ref="AU26:AW26"/>
    <mergeCell ref="B27:C27"/>
    <mergeCell ref="D27:H27"/>
    <mergeCell ref="I27:X27"/>
    <mergeCell ref="Z27:AO27"/>
    <mergeCell ref="AP27:AQ27"/>
    <mergeCell ref="AS27:AT27"/>
    <mergeCell ref="AU27:AW27"/>
    <mergeCell ref="B26:C26"/>
    <mergeCell ref="D26:H26"/>
    <mergeCell ref="I26:X26"/>
    <mergeCell ref="Z26:AO26"/>
    <mergeCell ref="AP26:AQ26"/>
    <mergeCell ref="AS26:AT26"/>
    <mergeCell ref="AU28:AW28"/>
    <mergeCell ref="B29:C29"/>
    <mergeCell ref="D29:H29"/>
    <mergeCell ref="I29:X29"/>
    <mergeCell ref="Z29:AO29"/>
    <mergeCell ref="AP29:AQ29"/>
    <mergeCell ref="AS29:AT29"/>
    <mergeCell ref="AU29:AW29"/>
    <mergeCell ref="B28:C28"/>
    <mergeCell ref="D28:H28"/>
    <mergeCell ref="I28:X28"/>
    <mergeCell ref="Z28:AO28"/>
    <mergeCell ref="AP28:AQ28"/>
    <mergeCell ref="AS28:AT28"/>
    <mergeCell ref="AU30:AW30"/>
    <mergeCell ref="B31:C31"/>
    <mergeCell ref="D31:H31"/>
    <mergeCell ref="I31:X31"/>
    <mergeCell ref="Z31:AO31"/>
    <mergeCell ref="AP31:AQ31"/>
    <mergeCell ref="AS31:AT31"/>
    <mergeCell ref="AU31:AW31"/>
    <mergeCell ref="B30:C30"/>
    <mergeCell ref="D30:H30"/>
    <mergeCell ref="I30:X30"/>
    <mergeCell ref="Z30:AO30"/>
    <mergeCell ref="AP30:AQ30"/>
    <mergeCell ref="AS30:AT30"/>
    <mergeCell ref="AU32:AW32"/>
    <mergeCell ref="B33:C33"/>
    <mergeCell ref="D33:H33"/>
    <mergeCell ref="I33:X33"/>
    <mergeCell ref="Z33:AO33"/>
    <mergeCell ref="AP33:AQ33"/>
    <mergeCell ref="AS33:AT33"/>
    <mergeCell ref="AU33:AW33"/>
    <mergeCell ref="B32:C32"/>
    <mergeCell ref="D32:H32"/>
    <mergeCell ref="I32:X32"/>
    <mergeCell ref="Z32:AO32"/>
    <mergeCell ref="AP32:AQ32"/>
    <mergeCell ref="AS32:AT32"/>
    <mergeCell ref="AU34:AW34"/>
    <mergeCell ref="B35:C35"/>
    <mergeCell ref="D35:H35"/>
    <mergeCell ref="I35:X35"/>
    <mergeCell ref="Z35:AO35"/>
    <mergeCell ref="AP35:AQ35"/>
    <mergeCell ref="AS35:AT35"/>
    <mergeCell ref="AU35:AW35"/>
    <mergeCell ref="B34:C34"/>
    <mergeCell ref="D34:H34"/>
    <mergeCell ref="I34:X34"/>
    <mergeCell ref="Z34:AO34"/>
    <mergeCell ref="AP34:AQ34"/>
    <mergeCell ref="AS34:AT34"/>
    <mergeCell ref="A45:B45"/>
    <mergeCell ref="A46:B46"/>
    <mergeCell ref="AA44:AB44"/>
    <mergeCell ref="AA45:AB45"/>
    <mergeCell ref="AA46:AB46"/>
    <mergeCell ref="U40:V40"/>
    <mergeCell ref="A39:B39"/>
    <mergeCell ref="A40:B40"/>
    <mergeCell ref="A41:B41"/>
    <mergeCell ref="AP45:AQ45"/>
    <mergeCell ref="AR45:AS45"/>
    <mergeCell ref="AU45:AV45"/>
    <mergeCell ref="AW45:AX45"/>
    <mergeCell ref="AP46:AQ46"/>
    <mergeCell ref="AR46:AS46"/>
    <mergeCell ref="AU46:AV46"/>
    <mergeCell ref="AW46:AX46"/>
    <mergeCell ref="AR41:AS41"/>
    <mergeCell ref="AU41:AV41"/>
    <mergeCell ref="AW41:AX41"/>
    <mergeCell ref="AP44:AQ44"/>
    <mergeCell ref="AR44:AS44"/>
    <mergeCell ref="AU44:AV44"/>
    <mergeCell ref="AW44:AX44"/>
    <mergeCell ref="AW43:AX43"/>
    <mergeCell ref="AP41:AQ41"/>
    <mergeCell ref="A38:O38"/>
    <mergeCell ref="AA38:AO38"/>
    <mergeCell ref="A43:O43"/>
    <mergeCell ref="AA43:AO43"/>
    <mergeCell ref="P38:Q38"/>
    <mergeCell ref="P44:Q44"/>
    <mergeCell ref="R44:S44"/>
    <mergeCell ref="U44:V44"/>
    <mergeCell ref="W44:X44"/>
    <mergeCell ref="W40:X40"/>
    <mergeCell ref="P41:Q41"/>
    <mergeCell ref="R41:S41"/>
    <mergeCell ref="U41:V41"/>
    <mergeCell ref="W41:X41"/>
    <mergeCell ref="W39:X39"/>
    <mergeCell ref="U39:V39"/>
    <mergeCell ref="R39:S39"/>
    <mergeCell ref="P39:Q39"/>
    <mergeCell ref="P40:Q40"/>
    <mergeCell ref="R40:S40"/>
    <mergeCell ref="AA39:AB39"/>
    <mergeCell ref="AA40:AB40"/>
    <mergeCell ref="AA41:AB41"/>
    <mergeCell ref="A44:B44"/>
    <mergeCell ref="R38:V38"/>
    <mergeCell ref="W38:X38"/>
    <mergeCell ref="AP38:AQ38"/>
    <mergeCell ref="AR38:AV38"/>
    <mergeCell ref="AW38:AX38"/>
    <mergeCell ref="P43:Q43"/>
    <mergeCell ref="R43:V43"/>
    <mergeCell ref="W43:X43"/>
    <mergeCell ref="AP43:AQ43"/>
    <mergeCell ref="AR43:AV43"/>
    <mergeCell ref="AP39:AQ39"/>
    <mergeCell ref="AR39:AS39"/>
    <mergeCell ref="AU39:AV39"/>
    <mergeCell ref="AW39:AX39"/>
    <mergeCell ref="AP40:AQ40"/>
    <mergeCell ref="AR40:AS40"/>
    <mergeCell ref="AU40:AV40"/>
    <mergeCell ref="AW40:AX40"/>
    <mergeCell ref="AC44:AO44"/>
    <mergeCell ref="AC45:AO45"/>
    <mergeCell ref="AC46:AO46"/>
    <mergeCell ref="AC39:AO39"/>
    <mergeCell ref="AC40:AO40"/>
    <mergeCell ref="AC41:AO41"/>
    <mergeCell ref="C39:O39"/>
    <mergeCell ref="C40:O40"/>
    <mergeCell ref="C41:O41"/>
    <mergeCell ref="C44:O44"/>
    <mergeCell ref="C45:O45"/>
    <mergeCell ref="C46:O46"/>
    <mergeCell ref="P46:Q46"/>
    <mergeCell ref="R46:S46"/>
    <mergeCell ref="U46:V46"/>
    <mergeCell ref="W46:X46"/>
    <mergeCell ref="P45:Q45"/>
    <mergeCell ref="R45:S45"/>
    <mergeCell ref="U45:V45"/>
    <mergeCell ref="W45:X4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N130"/>
  <sheetViews>
    <sheetView showGridLines="0" zoomScale="115" zoomScaleNormal="115" workbookViewId="0"/>
  </sheetViews>
  <sheetFormatPr baseColWidth="10" defaultColWidth="1.7109375" defaultRowHeight="15" x14ac:dyDescent="0.25"/>
  <cols>
    <col min="53" max="53" width="2" bestFit="1" customWidth="1"/>
    <col min="55" max="55" width="2" bestFit="1" customWidth="1"/>
    <col min="58" max="58" width="2.140625" bestFit="1" customWidth="1"/>
    <col min="59" max="59" width="12.7109375" bestFit="1" customWidth="1"/>
    <col min="60" max="62" width="13.7109375" bestFit="1" customWidth="1"/>
    <col min="63" max="63" width="2.140625" bestFit="1" customWidth="1"/>
    <col min="64" max="64" width="4.28515625" bestFit="1" customWidth="1"/>
  </cols>
  <sheetData>
    <row r="2" spans="1:66" ht="37.5" x14ac:dyDescent="0.7">
      <c r="L2" s="3" t="s">
        <v>0</v>
      </c>
    </row>
    <row r="3" spans="1:66" ht="29.25" x14ac:dyDescent="0.55000000000000004">
      <c r="M3" s="2"/>
      <c r="Q3" s="1" t="str">
        <f>Deckblatt!Q3</f>
        <v>10. attimo-Cup</v>
      </c>
    </row>
    <row r="6" spans="1:66" ht="15.75" x14ac:dyDescent="0.25">
      <c r="M6" s="94" t="s">
        <v>167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66" ht="15.75" x14ac:dyDescent="0.2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x14ac:dyDescent="0.25"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66" ht="15.75" x14ac:dyDescent="0.25">
      <c r="A9" s="7"/>
      <c r="B9" s="90" t="s">
        <v>17</v>
      </c>
      <c r="C9" s="90"/>
      <c r="D9" s="90"/>
      <c r="E9" s="90"/>
      <c r="F9" s="90"/>
      <c r="G9" s="93">
        <v>0.5</v>
      </c>
      <c r="H9" s="93"/>
      <c r="I9" s="93"/>
      <c r="J9" s="93"/>
      <c r="K9" s="93"/>
      <c r="L9" s="90" t="s">
        <v>18</v>
      </c>
      <c r="M9" s="90"/>
      <c r="N9" s="90"/>
      <c r="S9" s="90" t="s">
        <v>19</v>
      </c>
      <c r="T9" s="90"/>
      <c r="U9" s="90"/>
      <c r="V9" s="90"/>
      <c r="W9" s="90"/>
      <c r="X9" s="90"/>
      <c r="Y9" s="91">
        <v>1.0416666666666666E-2</v>
      </c>
      <c r="Z9" s="91"/>
      <c r="AA9" s="91"/>
      <c r="AB9" s="91"/>
      <c r="AC9" s="91"/>
      <c r="AD9" s="90" t="s">
        <v>20</v>
      </c>
      <c r="AE9" s="90"/>
      <c r="AF9" s="90"/>
      <c r="AJ9" s="7"/>
      <c r="AK9" s="90" t="s">
        <v>21</v>
      </c>
      <c r="AL9" s="90"/>
      <c r="AM9" s="90"/>
      <c r="AN9" s="90"/>
      <c r="AO9" s="90"/>
      <c r="AP9" s="91">
        <v>1.3888888888888889E-3</v>
      </c>
      <c r="AQ9" s="91"/>
      <c r="AR9" s="91"/>
      <c r="AS9" s="91"/>
      <c r="AT9" s="91"/>
      <c r="AU9" s="90" t="s">
        <v>20</v>
      </c>
      <c r="AV9" s="90"/>
      <c r="AW9" s="90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</row>
    <row r="10" spans="1:66" ht="15.75" x14ac:dyDescent="0.25">
      <c r="A10" s="7"/>
      <c r="B10" s="8"/>
      <c r="C10" s="8"/>
      <c r="D10" s="8"/>
      <c r="E10" s="8"/>
      <c r="F10" s="8"/>
      <c r="G10" s="17"/>
      <c r="H10" s="17"/>
      <c r="I10" s="17"/>
      <c r="J10" s="17"/>
      <c r="K10" s="17"/>
      <c r="L10" s="8"/>
      <c r="M10" s="8"/>
      <c r="N10" s="8"/>
      <c r="S10" s="8"/>
      <c r="T10" s="8"/>
      <c r="U10" s="8"/>
      <c r="V10" s="8"/>
      <c r="W10" s="8"/>
      <c r="X10" s="8"/>
      <c r="Y10" s="16"/>
      <c r="Z10" s="16"/>
      <c r="AA10" s="16"/>
      <c r="AB10" s="16"/>
      <c r="AC10" s="16"/>
      <c r="AD10" s="8"/>
      <c r="AE10" s="8"/>
      <c r="AF10" s="8"/>
      <c r="AJ10" s="7"/>
      <c r="AK10" s="8"/>
      <c r="AL10" s="8"/>
      <c r="AM10" s="8"/>
      <c r="AN10" s="8"/>
      <c r="AO10" s="8"/>
      <c r="AP10" s="16"/>
      <c r="AQ10" s="16"/>
      <c r="AR10" s="16"/>
      <c r="AS10" s="16"/>
      <c r="AT10" s="16"/>
      <c r="AU10" s="8"/>
      <c r="AV10" s="8"/>
      <c r="AW10" s="8"/>
      <c r="AZ10" s="36"/>
      <c r="BA10" s="36"/>
      <c r="BB10" s="36"/>
      <c r="BC10" s="36"/>
      <c r="BD10" s="36"/>
      <c r="BE10" s="36"/>
      <c r="BF10" s="36"/>
      <c r="BG10" s="36" t="s">
        <v>131</v>
      </c>
      <c r="BH10" s="36" t="s">
        <v>132</v>
      </c>
      <c r="BI10" s="36" t="s">
        <v>133</v>
      </c>
      <c r="BJ10" s="36" t="s">
        <v>42</v>
      </c>
      <c r="BK10" s="36"/>
      <c r="BL10" s="36"/>
      <c r="BM10" s="36"/>
      <c r="BN10" s="36"/>
    </row>
    <row r="11" spans="1:66" ht="15.75" thickBot="1" x14ac:dyDescent="0.3">
      <c r="A11" s="19" t="s">
        <v>22</v>
      </c>
      <c r="AZ11" s="36"/>
      <c r="BA11" s="36"/>
      <c r="BB11" s="36"/>
      <c r="BC11" s="36"/>
      <c r="BD11" s="36"/>
      <c r="BE11" s="36"/>
      <c r="BF11" s="36"/>
      <c r="BG11" s="36" t="str">
        <f ca="1">'Gruppe A'!BI40</f>
        <v>SG 07 Untertürkheim</v>
      </c>
      <c r="BH11" s="36" t="str">
        <f ca="1">'Gruppe B'!BI40</f>
        <v>TSV Uhlbach</v>
      </c>
      <c r="BI11" s="36" t="str">
        <f ca="1">'Gruppe C'!BI40</f>
        <v>TSV 1860 München</v>
      </c>
      <c r="BJ11" s="36" t="str">
        <f ca="1">'Gruppe D'!BI40</f>
        <v>Eintracht Frankfurt</v>
      </c>
      <c r="BK11" s="36"/>
      <c r="BL11" s="36"/>
      <c r="BM11" s="36"/>
      <c r="BN11" s="36"/>
    </row>
    <row r="12" spans="1:66" ht="16.5" thickBot="1" x14ac:dyDescent="0.3">
      <c r="A12" s="95" t="s">
        <v>35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7"/>
      <c r="X12" s="7"/>
      <c r="Y12" s="7"/>
      <c r="Z12" s="7"/>
      <c r="AA12" s="7"/>
      <c r="AB12" s="7"/>
      <c r="AC12" s="95" t="s">
        <v>36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9"/>
      <c r="AZ12" s="36"/>
      <c r="BA12" s="36"/>
      <c r="BB12" s="36"/>
      <c r="BC12" s="36"/>
      <c r="BD12" s="36"/>
      <c r="BE12" s="36"/>
      <c r="BF12" s="36"/>
      <c r="BG12" s="36" t="str">
        <f ca="1">'Gruppe A'!BI41</f>
        <v>Borussia Dortmund</v>
      </c>
      <c r="BH12" s="36" t="str">
        <f ca="1">'Gruppe B'!BI41</f>
        <v>Borussia Mönchengladbach</v>
      </c>
      <c r="BI12" s="36" t="str">
        <f ca="1">'Gruppe C'!BI41</f>
        <v>FV Löchgau</v>
      </c>
      <c r="BJ12" s="36" t="str">
        <f ca="1">'Gruppe D'!BI41</f>
        <v>SV Stuttgarter Kickers</v>
      </c>
      <c r="BK12" s="36"/>
      <c r="BL12" s="36"/>
      <c r="BM12" s="36"/>
      <c r="BN12" s="36"/>
    </row>
    <row r="13" spans="1:66" x14ac:dyDescent="0.25">
      <c r="A13" s="109" t="s">
        <v>4</v>
      </c>
      <c r="B13" s="99"/>
      <c r="C13" s="99" t="str">
        <f>IF((BG17=0),"1. Gruppe A",BG11)</f>
        <v>1. Gruppe A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AC13" s="109" t="s">
        <v>4</v>
      </c>
      <c r="AD13" s="99"/>
      <c r="AE13" s="99" t="str">
        <f>IF((BH17=0),"1. Gruppe B",BH11)</f>
        <v>1. Gruppe B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Z13" s="36"/>
      <c r="BA13" s="36"/>
      <c r="BB13" s="36"/>
      <c r="BC13" s="36"/>
      <c r="BD13" s="36"/>
      <c r="BE13" s="36"/>
      <c r="BF13" s="36"/>
      <c r="BG13" s="36" t="str">
        <f ca="1">'Gruppe A'!BI42</f>
        <v>SV Fellbach</v>
      </c>
      <c r="BH13" s="36" t="str">
        <f ca="1">'Gruppe B'!BI42</f>
        <v>TSV Wendlingen</v>
      </c>
      <c r="BI13" s="36" t="str">
        <f ca="1">'Gruppe C'!BI42</f>
        <v>TSG 1899 Hoffenheim</v>
      </c>
      <c r="BJ13" s="36" t="str">
        <f ca="1">'Gruppe D'!BI42</f>
        <v>VfR Heilbronn</v>
      </c>
      <c r="BK13" s="36"/>
      <c r="BL13" s="36"/>
      <c r="BM13" s="36"/>
      <c r="BN13" s="36"/>
    </row>
    <row r="14" spans="1:66" x14ac:dyDescent="0.25">
      <c r="A14" s="106" t="s">
        <v>5</v>
      </c>
      <c r="B14" s="101"/>
      <c r="C14" s="101" t="str">
        <f>IF((BH17=0),"2. Gruppe B",BH12)</f>
        <v>2. Gruppe B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AC14" s="106" t="s">
        <v>5</v>
      </c>
      <c r="AD14" s="101"/>
      <c r="AE14" s="101" t="str">
        <f>IF((BI17=0),"2. Gruppe C",BI12)</f>
        <v>2. Gruppe C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Z14" s="36"/>
      <c r="BA14" s="36"/>
      <c r="BB14" s="36"/>
      <c r="BC14" s="36"/>
      <c r="BD14" s="36"/>
      <c r="BE14" s="36"/>
      <c r="BF14" s="36"/>
      <c r="BG14" s="36" t="str">
        <f ca="1">'Gruppe A'!BI43</f>
        <v>SK Rapid Wien</v>
      </c>
      <c r="BH14" s="36" t="str">
        <f ca="1">'Gruppe B'!BI43</f>
        <v>Bayer 04 Leverkusen</v>
      </c>
      <c r="BI14" s="36" t="str">
        <f ca="1">'Gruppe C'!BI43</f>
        <v>1. FC Nürnberg</v>
      </c>
      <c r="BJ14" s="36" t="str">
        <f ca="1">'Gruppe D'!BI43</f>
        <v>1. FC Heidenheim</v>
      </c>
      <c r="BK14" s="36"/>
      <c r="BL14" s="36"/>
      <c r="BM14" s="36"/>
      <c r="BN14" s="36"/>
    </row>
    <row r="15" spans="1:66" ht="15.75" thickBot="1" x14ac:dyDescent="0.3">
      <c r="A15" s="105" t="s">
        <v>6</v>
      </c>
      <c r="B15" s="103"/>
      <c r="C15" s="103" t="str">
        <f>IF((BI17=0),"3. Gruppe C",BI13)</f>
        <v>3. Gruppe C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4"/>
      <c r="AC15" s="105" t="s">
        <v>6</v>
      </c>
      <c r="AD15" s="103"/>
      <c r="AE15" s="103" t="str">
        <f>IF((BJ17=0),"3. Gruppe D",BJ13)</f>
        <v>3. Gruppe D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Z15" s="36"/>
      <c r="BA15" s="36"/>
      <c r="BB15" s="36"/>
      <c r="BC15" s="36"/>
      <c r="BD15" s="36"/>
      <c r="BE15" s="36"/>
      <c r="BF15" s="36"/>
      <c r="BG15" s="36" t="str">
        <f ca="1">'Gruppe A'!BI44</f>
        <v>Fortuna Köln</v>
      </c>
      <c r="BH15" s="36" t="str">
        <f ca="1">'Gruppe B'!BI44</f>
        <v>FSV Waiblingen</v>
      </c>
      <c r="BI15" s="36" t="str">
        <f ca="1">'Gruppe C'!BI44</f>
        <v>TSF Ditzingen</v>
      </c>
      <c r="BJ15" s="36" t="str">
        <f ca="1">'Gruppe D'!BI44</f>
        <v>FC Augsburg</v>
      </c>
      <c r="BK15" s="36"/>
      <c r="BL15" s="36"/>
      <c r="BM15" s="36"/>
      <c r="BN15" s="36"/>
    </row>
    <row r="16" spans="1:66" ht="15.75" thickBot="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Z16" s="36"/>
      <c r="BA16" s="36"/>
      <c r="BB16" s="36"/>
      <c r="BC16" s="36"/>
      <c r="BD16" s="36"/>
      <c r="BE16" s="36"/>
      <c r="BF16" s="36"/>
      <c r="BG16" s="36" t="str">
        <f ca="1">'Gruppe A'!BI45</f>
        <v>LASK Linz</v>
      </c>
      <c r="BH16" s="36" t="str">
        <f ca="1">'Gruppe B'!BI45</f>
        <v>Karlsruher SC</v>
      </c>
      <c r="BI16" s="36" t="str">
        <f ca="1">'Gruppe C'!BI45</f>
        <v>SV Vaihingen</v>
      </c>
      <c r="BJ16" s="36" t="str">
        <f ca="1">'Gruppe D'!BI45</f>
        <v>TB Untertürkheim</v>
      </c>
      <c r="BK16" s="36"/>
      <c r="BL16" s="36"/>
      <c r="BM16" s="36"/>
      <c r="BN16" s="36"/>
    </row>
    <row r="17" spans="1:66" ht="16.5" thickBot="1" x14ac:dyDescent="0.3">
      <c r="A17" s="95" t="s">
        <v>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7"/>
      <c r="X17" s="7"/>
      <c r="Y17" s="7"/>
      <c r="Z17" s="7"/>
      <c r="AA17" s="7"/>
      <c r="AB17" s="7"/>
      <c r="AC17" s="95" t="s">
        <v>38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  <c r="AZ17" s="36"/>
      <c r="BA17" s="36"/>
      <c r="BB17" s="36"/>
      <c r="BC17" s="36"/>
      <c r="BD17" s="36"/>
      <c r="BE17" s="36"/>
      <c r="BF17" s="36"/>
      <c r="BG17" s="36">
        <f>'Gruppe A'!BI46</f>
        <v>0</v>
      </c>
      <c r="BH17" s="36">
        <f>'Gruppe B'!BI46</f>
        <v>0</v>
      </c>
      <c r="BI17" s="36">
        <f>'Gruppe C'!BI46</f>
        <v>0</v>
      </c>
      <c r="BJ17" s="36">
        <f>'Gruppe D'!BI46</f>
        <v>0</v>
      </c>
      <c r="BK17" s="36"/>
      <c r="BL17" s="36"/>
      <c r="BM17" s="36"/>
      <c r="BN17" s="36"/>
    </row>
    <row r="18" spans="1:66" x14ac:dyDescent="0.25">
      <c r="A18" s="109" t="s">
        <v>4</v>
      </c>
      <c r="B18" s="99"/>
      <c r="C18" s="99" t="str">
        <f>IF((BI17=0),"1. Gruppe C",BI11)</f>
        <v>1. Gruppe C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AC18" s="109" t="s">
        <v>4</v>
      </c>
      <c r="AD18" s="99"/>
      <c r="AE18" s="99" t="str">
        <f>IF((BJ17=0),"1. Gruppe D",BJ11)</f>
        <v>1. Gruppe D</v>
      </c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</row>
    <row r="19" spans="1:66" x14ac:dyDescent="0.25">
      <c r="A19" s="106" t="s">
        <v>5</v>
      </c>
      <c r="B19" s="101"/>
      <c r="C19" s="101" t="str">
        <f>IF((BJ17=0),"2. Gruppe D",BJ12)</f>
        <v>2. Gruppe D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AC19" s="106" t="s">
        <v>5</v>
      </c>
      <c r="AD19" s="101"/>
      <c r="AE19" s="101" t="str">
        <f>IF((BG17=0),"2. Gruppe A",BG12)</f>
        <v>2. Gruppe A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</row>
    <row r="20" spans="1:66" ht="15.75" thickBot="1" x14ac:dyDescent="0.3">
      <c r="A20" s="105" t="s">
        <v>6</v>
      </c>
      <c r="B20" s="103"/>
      <c r="C20" s="103" t="str">
        <f>IF((BG17=0),"3. Gruppe A",BG13)</f>
        <v>3. Gruppe A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  <c r="AC20" s="105" t="s">
        <v>6</v>
      </c>
      <c r="AD20" s="103"/>
      <c r="AE20" s="103" t="str">
        <f>IF((BH17=0),"3. Gruppe B",BH13)</f>
        <v>3. Gruppe B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</row>
    <row r="21" spans="1:66" x14ac:dyDescent="0.25">
      <c r="AZ21" s="36"/>
      <c r="BA21" s="36"/>
      <c r="BB21" s="36"/>
      <c r="BC21" s="36"/>
      <c r="BD21" s="36"/>
      <c r="BE21" s="36"/>
      <c r="BF21" s="36">
        <f ca="1">IF(BL21&gt;BL22,1,0)+IF(BL21&gt;BL23,1,0)</f>
        <v>2</v>
      </c>
      <c r="BG21" s="36" t="str">
        <f>C13</f>
        <v>1. Gruppe A</v>
      </c>
      <c r="BH21" s="36">
        <f ca="1">SUMIF($I$24:$X$35,$BG21,$BA$24:$BA$35)+SUMIF($Z$24:$AO$35,$BG21,$BC$24:$BC$35)</f>
        <v>0</v>
      </c>
      <c r="BI21" s="36">
        <f ca="1">SUMIF($I$24:$X$35,$BG21,$AP$24:$AQ$35)+SUMIF($Z$24:$AO$35,$BG21,$AS$24:$AT$35)</f>
        <v>0</v>
      </c>
      <c r="BJ21" s="36">
        <f ca="1">SUMIF($I$24:$X$35,$BG21,$AS$24:$AT$35)+SUMIF($Z$24:$AO$35,$BG21,$AP$24:$AQ$35)</f>
        <v>0</v>
      </c>
      <c r="BK21" s="36">
        <f ca="1">BI21-BJ21</f>
        <v>0</v>
      </c>
      <c r="BL21" s="36">
        <f ca="1">$BH21*1000000+$BK21*10000+$BI21+0.3</f>
        <v>0.3</v>
      </c>
      <c r="BM21" s="36"/>
      <c r="BN21" s="36"/>
    </row>
    <row r="22" spans="1:66" ht="15.75" thickBot="1" x14ac:dyDescent="0.3">
      <c r="A22" s="19" t="s">
        <v>39</v>
      </c>
      <c r="AZ22" s="36"/>
      <c r="BA22" s="36"/>
      <c r="BB22" s="36"/>
      <c r="BC22" s="36"/>
      <c r="BD22" s="36"/>
      <c r="BE22" s="36"/>
      <c r="BF22" s="36">
        <f ca="1">IF(BL22&gt;BL23,1,0)+IF(BL22&gt;BL21,1,0)</f>
        <v>1</v>
      </c>
      <c r="BG22" s="36" t="str">
        <f>C14</f>
        <v>2. Gruppe B</v>
      </c>
      <c r="BH22" s="36">
        <f t="shared" ref="BH22:BH35" ca="1" si="0">SUMIF($I$24:$X$35,$BG22,$BA$24:$BA$35)+SUMIF($Z$24:$AO$35,$BG22,$BC$24:$BC$35)</f>
        <v>0</v>
      </c>
      <c r="BI22" s="36">
        <f t="shared" ref="BI22:BI35" ca="1" si="1">SUMIF($I$24:$X$35,$BG22,$AP$24:$AQ$35)+SUMIF($Z$24:$AO$35,$BG22,$AS$24:$AT$35)</f>
        <v>0</v>
      </c>
      <c r="BJ22" s="36">
        <f t="shared" ref="BJ22:BJ35" ca="1" si="2">SUMIF($I$24:$X$35,$BG22,$AS$24:$AT$35)+SUMIF($Z$24:$AO$35,$BG22,$AP$24:$AQ$35)</f>
        <v>0</v>
      </c>
      <c r="BK22" s="36">
        <f t="shared" ref="BK22:BK35" ca="1" si="3">BI22-BJ22</f>
        <v>0</v>
      </c>
      <c r="BL22" s="36">
        <f ca="1">$BH22*1000000+$BK22*10000+$BI22+0.2</f>
        <v>0.2</v>
      </c>
      <c r="BM22" s="36"/>
      <c r="BN22" s="36"/>
    </row>
    <row r="23" spans="1:66" ht="16.5" thickBot="1" x14ac:dyDescent="0.3">
      <c r="B23" s="115" t="s">
        <v>24</v>
      </c>
      <c r="C23" s="116"/>
      <c r="D23" s="116" t="s">
        <v>25</v>
      </c>
      <c r="E23" s="116"/>
      <c r="F23" s="116"/>
      <c r="G23" s="116"/>
      <c r="H23" s="116"/>
      <c r="I23" s="116" t="s">
        <v>26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 t="s">
        <v>27</v>
      </c>
      <c r="AQ23" s="116"/>
      <c r="AR23" s="116"/>
      <c r="AS23" s="116"/>
      <c r="AT23" s="116"/>
      <c r="AU23" s="117"/>
      <c r="AV23" s="96"/>
      <c r="AW23" s="97"/>
      <c r="AZ23" s="36"/>
      <c r="BA23" s="36"/>
      <c r="BB23" s="36"/>
      <c r="BC23" s="36"/>
      <c r="BD23" s="36"/>
      <c r="BE23" s="36"/>
      <c r="BF23" s="36">
        <f ca="1">IF(BL23&gt;BL21,1,0)+IF(BL23&gt;BL22,1,0)</f>
        <v>0</v>
      </c>
      <c r="BG23" s="36" t="str">
        <f>C15</f>
        <v>3. Gruppe C</v>
      </c>
      <c r="BH23" s="36">
        <f t="shared" ca="1" si="0"/>
        <v>0</v>
      </c>
      <c r="BI23" s="36">
        <f t="shared" ca="1" si="1"/>
        <v>0</v>
      </c>
      <c r="BJ23" s="36">
        <f t="shared" ca="1" si="2"/>
        <v>0</v>
      </c>
      <c r="BK23" s="36">
        <f t="shared" ca="1" si="3"/>
        <v>0</v>
      </c>
      <c r="BL23" s="36">
        <f ca="1">$BH23*1000000+$BK23*10000+$BI23+0.1</f>
        <v>0.1</v>
      </c>
      <c r="BM23" s="36"/>
      <c r="BN23" s="36"/>
    </row>
    <row r="24" spans="1:66" x14ac:dyDescent="0.25">
      <c r="B24" s="88">
        <v>1</v>
      </c>
      <c r="C24" s="79"/>
      <c r="D24" s="81">
        <f>G9</f>
        <v>0.5</v>
      </c>
      <c r="E24" s="79"/>
      <c r="F24" s="79"/>
      <c r="G24" s="79"/>
      <c r="H24" s="79"/>
      <c r="I24" s="113" t="str">
        <f>C13</f>
        <v>1. Gruppe A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5" t="s">
        <v>29</v>
      </c>
      <c r="Z24" s="79" t="str">
        <f>C14</f>
        <v>2. Gruppe B</v>
      </c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3" t="s">
        <v>28</v>
      </c>
      <c r="AS24" s="79"/>
      <c r="AT24" s="79"/>
      <c r="AU24" s="79"/>
      <c r="AV24" s="79"/>
      <c r="AW24" s="80"/>
      <c r="AZ24" s="36"/>
      <c r="BA24" s="36">
        <f>IF(ISBLANK($AP24),0,IF($AP24&gt;$AS24,3,IF($AP24=$AS24,1,0)))</f>
        <v>0</v>
      </c>
      <c r="BB24" s="36"/>
      <c r="BC24" s="36">
        <f>IF(ISBLANK($AS24),0,IF($AP24&lt;$AS24,3,IF($AP24=$AS24,1,0)))</f>
        <v>0</v>
      </c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</row>
    <row r="25" spans="1:66" ht="15.75" thickBot="1" x14ac:dyDescent="0.3">
      <c r="B25" s="73">
        <v>2</v>
      </c>
      <c r="C25" s="65"/>
      <c r="D25" s="87">
        <f>D24</f>
        <v>0.5</v>
      </c>
      <c r="E25" s="65"/>
      <c r="F25" s="65"/>
      <c r="G25" s="65"/>
      <c r="H25" s="65"/>
      <c r="I25" s="111" t="str">
        <f>AE13</f>
        <v>1. Gruppe B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20" t="s">
        <v>29</v>
      </c>
      <c r="Z25" s="65" t="str">
        <f>AE14</f>
        <v>2. Gruppe C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11" t="s">
        <v>28</v>
      </c>
      <c r="AS25" s="65"/>
      <c r="AT25" s="65"/>
      <c r="AU25" s="65"/>
      <c r="AV25" s="65"/>
      <c r="AW25" s="78"/>
      <c r="AZ25" s="36"/>
      <c r="BA25" s="36">
        <f t="shared" ref="BA25:BA35" si="4">IF(ISBLANK($AP25),0,IF($AP25&gt;$AS25,3,IF($AP25=$AS25,1,0)))</f>
        <v>0</v>
      </c>
      <c r="BB25" s="36"/>
      <c r="BC25" s="36">
        <f t="shared" ref="BC25:BC35" si="5">IF(ISBLANK($AS25),0,IF($AP25&lt;$AS25,3,IF($AP25=$AS25,1,0)))</f>
        <v>0</v>
      </c>
      <c r="BD25" s="36"/>
      <c r="BE25" s="36"/>
      <c r="BF25" s="36">
        <f ca="1">IF(BL25&gt;BL26,1,0)+IF(BL25&gt;BL27,1,0)</f>
        <v>2</v>
      </c>
      <c r="BG25" s="36" t="str">
        <f>AE13</f>
        <v>1. Gruppe B</v>
      </c>
      <c r="BH25" s="36">
        <f t="shared" ca="1" si="0"/>
        <v>0</v>
      </c>
      <c r="BI25" s="36">
        <f t="shared" ca="1" si="1"/>
        <v>0</v>
      </c>
      <c r="BJ25" s="36">
        <f t="shared" ca="1" si="2"/>
        <v>0</v>
      </c>
      <c r="BK25" s="36">
        <f t="shared" ca="1" si="3"/>
        <v>0</v>
      </c>
      <c r="BL25" s="36">
        <f ca="1">$BH25*1000000+$BK25*10000+$BI25+0.3</f>
        <v>0.3</v>
      </c>
      <c r="BM25" s="36"/>
      <c r="BN25" s="36"/>
    </row>
    <row r="26" spans="1:66" ht="15.75" thickBot="1" x14ac:dyDescent="0.3">
      <c r="B26" s="88">
        <v>1</v>
      </c>
      <c r="C26" s="79"/>
      <c r="D26" s="87">
        <f t="shared" ref="D26:D34" si="6">D25+$Y$9+$AP$9</f>
        <v>0.51180555555555551</v>
      </c>
      <c r="E26" s="65"/>
      <c r="F26" s="65"/>
      <c r="G26" s="65"/>
      <c r="H26" s="65"/>
      <c r="I26" s="113" t="str">
        <f>C18</f>
        <v>1. Gruppe C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5" t="s">
        <v>29</v>
      </c>
      <c r="Z26" s="79" t="str">
        <f>C19</f>
        <v>2. Gruppe D</v>
      </c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3" t="s">
        <v>28</v>
      </c>
      <c r="AS26" s="79"/>
      <c r="AT26" s="79"/>
      <c r="AU26" s="79"/>
      <c r="AV26" s="79"/>
      <c r="AW26" s="80"/>
      <c r="AZ26" s="36"/>
      <c r="BA26" s="36">
        <f t="shared" si="4"/>
        <v>0</v>
      </c>
      <c r="BB26" s="36"/>
      <c r="BC26" s="36">
        <f t="shared" si="5"/>
        <v>0</v>
      </c>
      <c r="BD26" s="36"/>
      <c r="BE26" s="36"/>
      <c r="BF26" s="36">
        <f ca="1">IF(BL26&gt;BL27,1,0)+IF(BL26&gt;BL25,1,0)</f>
        <v>1</v>
      </c>
      <c r="BG26" s="36" t="str">
        <f>AE14</f>
        <v>2. Gruppe C</v>
      </c>
      <c r="BH26" s="36">
        <f t="shared" ca="1" si="0"/>
        <v>0</v>
      </c>
      <c r="BI26" s="36">
        <f t="shared" ca="1" si="1"/>
        <v>0</v>
      </c>
      <c r="BJ26" s="36">
        <f t="shared" ca="1" si="2"/>
        <v>0</v>
      </c>
      <c r="BK26" s="36">
        <f t="shared" ca="1" si="3"/>
        <v>0</v>
      </c>
      <c r="BL26" s="36">
        <f ca="1">$BH26*1000000+$BK26*10000+$BI26+0.2</f>
        <v>0.2</v>
      </c>
      <c r="BM26" s="36"/>
      <c r="BN26" s="36"/>
    </row>
    <row r="27" spans="1:66" ht="15.75" thickBot="1" x14ac:dyDescent="0.3">
      <c r="B27" s="73">
        <v>2</v>
      </c>
      <c r="C27" s="65"/>
      <c r="D27" s="87">
        <f>D26</f>
        <v>0.51180555555555551</v>
      </c>
      <c r="E27" s="65"/>
      <c r="F27" s="65"/>
      <c r="G27" s="65"/>
      <c r="H27" s="65"/>
      <c r="I27" s="111" t="str">
        <f>AE18</f>
        <v>1. Gruppe D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20" t="s">
        <v>29</v>
      </c>
      <c r="Z27" s="65" t="str">
        <f>AE19</f>
        <v>2. Gruppe A</v>
      </c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11" t="s">
        <v>28</v>
      </c>
      <c r="AS27" s="65"/>
      <c r="AT27" s="65"/>
      <c r="AU27" s="65"/>
      <c r="AV27" s="65"/>
      <c r="AW27" s="78"/>
      <c r="AZ27" s="36"/>
      <c r="BA27" s="36">
        <f t="shared" si="4"/>
        <v>0</v>
      </c>
      <c r="BB27" s="36"/>
      <c r="BC27" s="36">
        <f t="shared" si="5"/>
        <v>0</v>
      </c>
      <c r="BD27" s="36"/>
      <c r="BE27" s="36"/>
      <c r="BF27" s="36">
        <f ca="1">IF(BL27&gt;BL25,1,0)+IF(BL27&gt;BL26,1,0)</f>
        <v>0</v>
      </c>
      <c r="BG27" s="36" t="str">
        <f>AE15</f>
        <v>3. Gruppe D</v>
      </c>
      <c r="BH27" s="36">
        <f t="shared" ca="1" si="0"/>
        <v>0</v>
      </c>
      <c r="BI27" s="36">
        <f t="shared" ca="1" si="1"/>
        <v>0</v>
      </c>
      <c r="BJ27" s="36">
        <f t="shared" ca="1" si="2"/>
        <v>0</v>
      </c>
      <c r="BK27" s="36">
        <f t="shared" ca="1" si="3"/>
        <v>0</v>
      </c>
      <c r="BL27" s="36">
        <f t="shared" ref="BL27:BL35" ca="1" si="7">$BH27*1000000+$BK27*10000+$BI27+0.1</f>
        <v>0.1</v>
      </c>
      <c r="BM27" s="36"/>
      <c r="BN27" s="36"/>
    </row>
    <row r="28" spans="1:66" ht="15.75" thickBot="1" x14ac:dyDescent="0.3">
      <c r="B28" s="88">
        <v>1</v>
      </c>
      <c r="C28" s="79"/>
      <c r="D28" s="87">
        <f t="shared" si="6"/>
        <v>0.52361111111111103</v>
      </c>
      <c r="E28" s="65"/>
      <c r="F28" s="65"/>
      <c r="G28" s="65"/>
      <c r="H28" s="65"/>
      <c r="I28" s="113" t="str">
        <f>C15</f>
        <v>3. Gruppe C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5" t="s">
        <v>29</v>
      </c>
      <c r="Z28" s="79" t="str">
        <f>C13</f>
        <v>1. Gruppe A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3" t="s">
        <v>28</v>
      </c>
      <c r="AS28" s="79"/>
      <c r="AT28" s="79"/>
      <c r="AU28" s="79"/>
      <c r="AV28" s="79"/>
      <c r="AW28" s="80"/>
      <c r="AZ28" s="36"/>
      <c r="BA28" s="36">
        <f t="shared" si="4"/>
        <v>0</v>
      </c>
      <c r="BB28" s="36"/>
      <c r="BC28" s="36">
        <f t="shared" si="5"/>
        <v>0</v>
      </c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66" ht="15.75" thickBot="1" x14ac:dyDescent="0.3">
      <c r="B29" s="73">
        <v>2</v>
      </c>
      <c r="C29" s="65"/>
      <c r="D29" s="87">
        <f>D28</f>
        <v>0.52361111111111103</v>
      </c>
      <c r="E29" s="65"/>
      <c r="F29" s="65"/>
      <c r="G29" s="65"/>
      <c r="H29" s="65"/>
      <c r="I29" s="111" t="str">
        <f>AE15</f>
        <v>3. Gruppe D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20" t="s">
        <v>29</v>
      </c>
      <c r="Z29" s="65" t="str">
        <f>AE13</f>
        <v>1. Gruppe B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11" t="s">
        <v>28</v>
      </c>
      <c r="AS29" s="65"/>
      <c r="AT29" s="65"/>
      <c r="AU29" s="65"/>
      <c r="AV29" s="65"/>
      <c r="AW29" s="78"/>
      <c r="AZ29" s="36"/>
      <c r="BA29" s="36">
        <f t="shared" si="4"/>
        <v>0</v>
      </c>
      <c r="BB29" s="36"/>
      <c r="BC29" s="36">
        <f t="shared" si="5"/>
        <v>0</v>
      </c>
      <c r="BD29" s="36"/>
      <c r="BE29" s="36"/>
      <c r="BF29" s="36">
        <f ca="1">IF(BL29&gt;BL30,1,0)+IF(BL29&gt;BL31,1,0)</f>
        <v>2</v>
      </c>
      <c r="BG29" s="36" t="str">
        <f>C18</f>
        <v>1. Gruppe C</v>
      </c>
      <c r="BH29" s="36">
        <f t="shared" ca="1" si="0"/>
        <v>0</v>
      </c>
      <c r="BI29" s="36">
        <f t="shared" ca="1" si="1"/>
        <v>0</v>
      </c>
      <c r="BJ29" s="36">
        <f t="shared" ca="1" si="2"/>
        <v>0</v>
      </c>
      <c r="BK29" s="36">
        <f t="shared" ca="1" si="3"/>
        <v>0</v>
      </c>
      <c r="BL29" s="36">
        <f ca="1">$BH29*1000000+$BK29*10000+$BI29+0.3</f>
        <v>0.3</v>
      </c>
      <c r="BM29" s="36"/>
      <c r="BN29" s="36"/>
    </row>
    <row r="30" spans="1:66" ht="15.75" thickBot="1" x14ac:dyDescent="0.3">
      <c r="B30" s="88">
        <v>1</v>
      </c>
      <c r="C30" s="79"/>
      <c r="D30" s="87">
        <f t="shared" si="6"/>
        <v>0.53541666666666654</v>
      </c>
      <c r="E30" s="65"/>
      <c r="F30" s="65"/>
      <c r="G30" s="65"/>
      <c r="H30" s="65"/>
      <c r="I30" s="113" t="str">
        <f>C20</f>
        <v>3. Gruppe A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5" t="s">
        <v>29</v>
      </c>
      <c r="Z30" s="79" t="str">
        <f>C18</f>
        <v>1. Gruppe C</v>
      </c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3" t="s">
        <v>28</v>
      </c>
      <c r="AS30" s="79"/>
      <c r="AT30" s="79"/>
      <c r="AU30" s="79"/>
      <c r="AV30" s="79"/>
      <c r="AW30" s="80"/>
      <c r="AZ30" s="36"/>
      <c r="BA30" s="36">
        <f t="shared" si="4"/>
        <v>0</v>
      </c>
      <c r="BB30" s="36"/>
      <c r="BC30" s="36">
        <f t="shared" si="5"/>
        <v>0</v>
      </c>
      <c r="BD30" s="36"/>
      <c r="BE30" s="36"/>
      <c r="BF30" s="36">
        <f ca="1">IF(BL30&gt;BL31,1,0)+IF(BL30&gt;BL29,1,0)</f>
        <v>1</v>
      </c>
      <c r="BG30" s="36" t="str">
        <f>C19</f>
        <v>2. Gruppe D</v>
      </c>
      <c r="BH30" s="36">
        <f t="shared" ca="1" si="0"/>
        <v>0</v>
      </c>
      <c r="BI30" s="36">
        <f t="shared" ca="1" si="1"/>
        <v>0</v>
      </c>
      <c r="BJ30" s="36">
        <f t="shared" ca="1" si="2"/>
        <v>0</v>
      </c>
      <c r="BK30" s="36">
        <f t="shared" ca="1" si="3"/>
        <v>0</v>
      </c>
      <c r="BL30" s="36">
        <f ca="1">$BH30*1000000+$BK30*10000+$BI30+0.2</f>
        <v>0.2</v>
      </c>
      <c r="BM30" s="36"/>
      <c r="BN30" s="36"/>
    </row>
    <row r="31" spans="1:66" ht="15.75" thickBot="1" x14ac:dyDescent="0.3">
      <c r="B31" s="73">
        <v>2</v>
      </c>
      <c r="C31" s="65"/>
      <c r="D31" s="87">
        <f>D30</f>
        <v>0.53541666666666654</v>
      </c>
      <c r="E31" s="65"/>
      <c r="F31" s="65"/>
      <c r="G31" s="65"/>
      <c r="H31" s="65"/>
      <c r="I31" s="111" t="str">
        <f>AE20</f>
        <v>3. Gruppe B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20" t="s">
        <v>29</v>
      </c>
      <c r="Z31" s="65" t="str">
        <f>AE18</f>
        <v>1. Gruppe D</v>
      </c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11" t="s">
        <v>28</v>
      </c>
      <c r="AS31" s="65"/>
      <c r="AT31" s="65"/>
      <c r="AU31" s="65"/>
      <c r="AV31" s="65"/>
      <c r="AW31" s="78"/>
      <c r="AZ31" s="36"/>
      <c r="BA31" s="36">
        <f t="shared" si="4"/>
        <v>0</v>
      </c>
      <c r="BB31" s="36"/>
      <c r="BC31" s="36">
        <f t="shared" si="5"/>
        <v>0</v>
      </c>
      <c r="BD31" s="36"/>
      <c r="BE31" s="36"/>
      <c r="BF31" s="36">
        <f ca="1">IF(BL31&gt;BL29,1,0)+IF(BL31&gt;BL30,1,0)</f>
        <v>0</v>
      </c>
      <c r="BG31" s="36" t="str">
        <f>C20</f>
        <v>3. Gruppe A</v>
      </c>
      <c r="BH31" s="36">
        <f t="shared" ca="1" si="0"/>
        <v>0</v>
      </c>
      <c r="BI31" s="36">
        <f t="shared" ca="1" si="1"/>
        <v>0</v>
      </c>
      <c r="BJ31" s="36">
        <f t="shared" ca="1" si="2"/>
        <v>0</v>
      </c>
      <c r="BK31" s="36">
        <f t="shared" ca="1" si="3"/>
        <v>0</v>
      </c>
      <c r="BL31" s="36">
        <f ca="1">$BH31*1000000+$BK31*10000+$BI31+0.1</f>
        <v>0.1</v>
      </c>
      <c r="BM31" s="36"/>
      <c r="BN31" s="36"/>
    </row>
    <row r="32" spans="1:66" ht="15.75" thickBot="1" x14ac:dyDescent="0.3">
      <c r="B32" s="88">
        <v>1</v>
      </c>
      <c r="C32" s="79"/>
      <c r="D32" s="87">
        <f t="shared" si="6"/>
        <v>0.54722222222222205</v>
      </c>
      <c r="E32" s="65"/>
      <c r="F32" s="65"/>
      <c r="G32" s="65"/>
      <c r="H32" s="65"/>
      <c r="I32" s="113" t="str">
        <f>C14</f>
        <v>2. Gruppe B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5" t="s">
        <v>29</v>
      </c>
      <c r="Z32" s="79" t="str">
        <f>C15</f>
        <v>3. Gruppe C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3" t="s">
        <v>28</v>
      </c>
      <c r="AS32" s="79"/>
      <c r="AT32" s="79"/>
      <c r="AU32" s="79"/>
      <c r="AV32" s="79"/>
      <c r="AW32" s="80"/>
      <c r="AZ32" s="36"/>
      <c r="BA32" s="36">
        <f t="shared" si="4"/>
        <v>0</v>
      </c>
      <c r="BB32" s="36"/>
      <c r="BC32" s="36">
        <f t="shared" si="5"/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ht="15.75" thickBot="1" x14ac:dyDescent="0.3">
      <c r="B33" s="73">
        <v>2</v>
      </c>
      <c r="C33" s="65"/>
      <c r="D33" s="87">
        <f>D32</f>
        <v>0.54722222222222205</v>
      </c>
      <c r="E33" s="65"/>
      <c r="F33" s="65"/>
      <c r="G33" s="65"/>
      <c r="H33" s="65"/>
      <c r="I33" s="111" t="str">
        <f>AE14</f>
        <v>2. Gruppe C</v>
      </c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20" t="s">
        <v>29</v>
      </c>
      <c r="Z33" s="65" t="str">
        <f>AE15</f>
        <v>3. Gruppe D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1" t="s">
        <v>28</v>
      </c>
      <c r="AS33" s="65"/>
      <c r="AT33" s="65"/>
      <c r="AU33" s="65"/>
      <c r="AV33" s="65"/>
      <c r="AW33" s="78"/>
      <c r="AZ33" s="36"/>
      <c r="BA33" s="36">
        <f t="shared" si="4"/>
        <v>0</v>
      </c>
      <c r="BB33" s="36"/>
      <c r="BC33" s="36">
        <f t="shared" si="5"/>
        <v>0</v>
      </c>
      <c r="BD33" s="36"/>
      <c r="BE33" s="36"/>
      <c r="BF33" s="36">
        <f ca="1">IF(BL33&gt;BL34,1,0)+IF(BL33&gt;BL35,1,0)</f>
        <v>2</v>
      </c>
      <c r="BG33" s="36" t="str">
        <f>AE18</f>
        <v>1. Gruppe D</v>
      </c>
      <c r="BH33" s="36">
        <f t="shared" ca="1" si="0"/>
        <v>0</v>
      </c>
      <c r="BI33" s="36">
        <f t="shared" ca="1" si="1"/>
        <v>0</v>
      </c>
      <c r="BJ33" s="36">
        <f t="shared" ca="1" si="2"/>
        <v>0</v>
      </c>
      <c r="BK33" s="36">
        <f t="shared" ca="1" si="3"/>
        <v>0</v>
      </c>
      <c r="BL33" s="36">
        <f ca="1">$BH33*1000000+$BK33*10000+$BI33+0.3</f>
        <v>0.3</v>
      </c>
      <c r="BM33" s="36"/>
      <c r="BN33" s="36"/>
    </row>
    <row r="34" spans="1:66" ht="15.75" thickBot="1" x14ac:dyDescent="0.3">
      <c r="B34" s="88">
        <v>1</v>
      </c>
      <c r="C34" s="79"/>
      <c r="D34" s="87">
        <f t="shared" si="6"/>
        <v>0.55902777777777757</v>
      </c>
      <c r="E34" s="65"/>
      <c r="F34" s="65"/>
      <c r="G34" s="65"/>
      <c r="H34" s="65"/>
      <c r="I34" s="113" t="str">
        <f>C19</f>
        <v>2. Gruppe D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5" t="s">
        <v>29</v>
      </c>
      <c r="Z34" s="79" t="str">
        <f>C20</f>
        <v>3. Gruppe A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3" t="s">
        <v>28</v>
      </c>
      <c r="AS34" s="79"/>
      <c r="AT34" s="79"/>
      <c r="AU34" s="79"/>
      <c r="AV34" s="79"/>
      <c r="AW34" s="80"/>
      <c r="AZ34" s="36"/>
      <c r="BA34" s="36">
        <f t="shared" si="4"/>
        <v>0</v>
      </c>
      <c r="BB34" s="36"/>
      <c r="BC34" s="36">
        <f t="shared" si="5"/>
        <v>0</v>
      </c>
      <c r="BD34" s="36"/>
      <c r="BE34" s="36"/>
      <c r="BF34" s="36">
        <f ca="1">IF(BL34&gt;BL35,1,0)+IF(BL34&gt;BL33,1,0)</f>
        <v>1</v>
      </c>
      <c r="BG34" s="36" t="str">
        <f>AE19</f>
        <v>2. Gruppe A</v>
      </c>
      <c r="BH34" s="36">
        <f t="shared" ca="1" si="0"/>
        <v>0</v>
      </c>
      <c r="BI34" s="36">
        <f t="shared" ca="1" si="1"/>
        <v>0</v>
      </c>
      <c r="BJ34" s="36">
        <f t="shared" ca="1" si="2"/>
        <v>0</v>
      </c>
      <c r="BK34" s="36">
        <f t="shared" ca="1" si="3"/>
        <v>0</v>
      </c>
      <c r="BL34" s="36">
        <f ca="1">$BH34*1000000+$BK34*10000+$BI34+0.2</f>
        <v>0.2</v>
      </c>
      <c r="BM34" s="36"/>
      <c r="BN34" s="36"/>
    </row>
    <row r="35" spans="1:66" ht="15.75" thickBot="1" x14ac:dyDescent="0.3">
      <c r="B35" s="73">
        <v>2</v>
      </c>
      <c r="C35" s="65"/>
      <c r="D35" s="87">
        <f>D34</f>
        <v>0.55902777777777757</v>
      </c>
      <c r="E35" s="65"/>
      <c r="F35" s="65"/>
      <c r="G35" s="65"/>
      <c r="H35" s="65"/>
      <c r="I35" s="111" t="str">
        <f>AE19</f>
        <v>2. Gruppe A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20" t="s">
        <v>29</v>
      </c>
      <c r="Z35" s="65" t="str">
        <f>AE20</f>
        <v>3. Gruppe B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11" t="s">
        <v>28</v>
      </c>
      <c r="AS35" s="65"/>
      <c r="AT35" s="65"/>
      <c r="AU35" s="65"/>
      <c r="AV35" s="65"/>
      <c r="AW35" s="78"/>
      <c r="AZ35" s="36"/>
      <c r="BA35" s="36">
        <f t="shared" si="4"/>
        <v>0</v>
      </c>
      <c r="BB35" s="36"/>
      <c r="BC35" s="36">
        <f t="shared" si="5"/>
        <v>0</v>
      </c>
      <c r="BD35" s="36"/>
      <c r="BE35" s="36"/>
      <c r="BF35" s="36">
        <f ca="1">IF(BL35&gt;BL33,1,0)+IF(BL35&gt;BL34,1,0)</f>
        <v>0</v>
      </c>
      <c r="BG35" s="36" t="str">
        <f>AE20</f>
        <v>3. Gruppe B</v>
      </c>
      <c r="BH35" s="36">
        <f t="shared" ca="1" si="0"/>
        <v>0</v>
      </c>
      <c r="BI35" s="36">
        <f t="shared" ca="1" si="1"/>
        <v>0</v>
      </c>
      <c r="BJ35" s="36">
        <f t="shared" ca="1" si="2"/>
        <v>0</v>
      </c>
      <c r="BK35" s="36">
        <f t="shared" ca="1" si="3"/>
        <v>0</v>
      </c>
      <c r="BL35" s="36">
        <f t="shared" ca="1" si="7"/>
        <v>0.1</v>
      </c>
      <c r="BM35" s="36"/>
      <c r="BN35" s="36"/>
    </row>
    <row r="36" spans="1:66" x14ac:dyDescent="0.25">
      <c r="B36" s="24"/>
      <c r="C36" s="24"/>
      <c r="D36" s="25"/>
      <c r="E36" s="24"/>
      <c r="F36" s="24"/>
      <c r="G36" s="24"/>
      <c r="H36" s="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AS36" s="24"/>
      <c r="AT36" s="24"/>
      <c r="AU36" s="24"/>
      <c r="AV36" s="24"/>
      <c r="AW36" s="24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66" ht="15.75" thickBot="1" x14ac:dyDescent="0.3">
      <c r="A37" s="19" t="s">
        <v>40</v>
      </c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</row>
    <row r="38" spans="1:66" ht="15.75" thickBot="1" x14ac:dyDescent="0.3">
      <c r="A38" s="110" t="s">
        <v>35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41</v>
      </c>
      <c r="Q38" s="107"/>
      <c r="R38" s="107" t="s">
        <v>31</v>
      </c>
      <c r="S38" s="107"/>
      <c r="T38" s="107"/>
      <c r="U38" s="107"/>
      <c r="V38" s="107"/>
      <c r="W38" s="107" t="s">
        <v>42</v>
      </c>
      <c r="X38" s="108"/>
      <c r="Y38" s="21"/>
      <c r="Z38" s="21"/>
      <c r="AA38" s="110" t="s">
        <v>36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 t="s">
        <v>41</v>
      </c>
      <c r="AQ38" s="107"/>
      <c r="AR38" s="107" t="s">
        <v>31</v>
      </c>
      <c r="AS38" s="107"/>
      <c r="AT38" s="107"/>
      <c r="AU38" s="107"/>
      <c r="AV38" s="107"/>
      <c r="AW38" s="107" t="s">
        <v>42</v>
      </c>
      <c r="AX38" s="108"/>
    </row>
    <row r="39" spans="1:66" x14ac:dyDescent="0.25">
      <c r="A39" s="109" t="s">
        <v>4</v>
      </c>
      <c r="B39" s="99"/>
      <c r="C39" s="99" t="str">
        <f ca="1">VLOOKUP(2,BF21:BL23,2,FALSE)</f>
        <v>1. Gruppe A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109">
        <f ca="1">VLOOKUP(2,BF21:BL23,3,FALSE)</f>
        <v>0</v>
      </c>
      <c r="Q39" s="100"/>
      <c r="R39" s="99">
        <f ca="1">VLOOKUP(2,BF21:BL23,4,FALSE)</f>
        <v>0</v>
      </c>
      <c r="S39" s="99"/>
      <c r="T39" s="22" t="s">
        <v>28</v>
      </c>
      <c r="U39" s="99">
        <f ca="1">VLOOKUP(2,BF21:BL23,5,FALSE)</f>
        <v>0</v>
      </c>
      <c r="V39" s="100"/>
      <c r="W39" s="109">
        <f ca="1">R39-U39</f>
        <v>0</v>
      </c>
      <c r="X39" s="100"/>
      <c r="Y39" s="21"/>
      <c r="Z39" s="21"/>
      <c r="AA39" s="109" t="s">
        <v>4</v>
      </c>
      <c r="AB39" s="99"/>
      <c r="AC39" s="99" t="str">
        <f ca="1">VLOOKUP(2,BF25:BL27,2,FALSE)</f>
        <v>1. Gruppe B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00"/>
      <c r="AP39" s="109">
        <f ca="1">VLOOKUP(2,BF25:BL27,3,FALSE)</f>
        <v>0</v>
      </c>
      <c r="AQ39" s="100"/>
      <c r="AR39" s="109">
        <f ca="1">VLOOKUP(2,BF25:BL27,4,FALSE)</f>
        <v>0</v>
      </c>
      <c r="AS39" s="99"/>
      <c r="AT39" s="22" t="s">
        <v>28</v>
      </c>
      <c r="AU39" s="99">
        <f ca="1">VLOOKUP(2,BF25:BL27,5,FALSE)</f>
        <v>0</v>
      </c>
      <c r="AV39" s="100"/>
      <c r="AW39" s="109">
        <f ca="1">AR39-AU39</f>
        <v>0</v>
      </c>
      <c r="AX39" s="100"/>
    </row>
    <row r="40" spans="1:66" x14ac:dyDescent="0.25">
      <c r="A40" s="106" t="s">
        <v>5</v>
      </c>
      <c r="B40" s="101"/>
      <c r="C40" s="101" t="str">
        <f ca="1">VLOOKUP(1,BF21:BL23,2,FALSE)</f>
        <v>2. Gruppe B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6">
        <f ca="1">VLOOKUP(1,BF21:BL23,3,FALSE)</f>
        <v>0</v>
      </c>
      <c r="Q40" s="102"/>
      <c r="R40" s="101">
        <f ca="1">VLOOKUP(1,BF21:BL23,4,FALSE)</f>
        <v>0</v>
      </c>
      <c r="S40" s="101"/>
      <c r="T40" t="s">
        <v>28</v>
      </c>
      <c r="U40" s="101">
        <f ca="1">VLOOKUP(1,BF21:BL23,5,FALSE)</f>
        <v>0</v>
      </c>
      <c r="V40" s="102"/>
      <c r="W40" s="106">
        <f ca="1">R40-U40</f>
        <v>0</v>
      </c>
      <c r="X40" s="102"/>
      <c r="Y40" s="21"/>
      <c r="Z40" s="21"/>
      <c r="AA40" s="106" t="s">
        <v>5</v>
      </c>
      <c r="AB40" s="101"/>
      <c r="AC40" s="101" t="str">
        <f ca="1">VLOOKUP(1,BF25:BL27,2,FALSE)</f>
        <v>2. Gruppe C</v>
      </c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2"/>
      <c r="AP40" s="106">
        <f ca="1">VLOOKUP(1,BF25:BL27,3,FALSE)</f>
        <v>0</v>
      </c>
      <c r="AQ40" s="102"/>
      <c r="AR40" s="106">
        <f ca="1">VLOOKUP(1,BF25:BL27,4,FALSE)</f>
        <v>0</v>
      </c>
      <c r="AS40" s="101"/>
      <c r="AT40" t="s">
        <v>28</v>
      </c>
      <c r="AU40" s="101">
        <f ca="1">VLOOKUP(1,BF25:BL27,5,FALSE)</f>
        <v>0</v>
      </c>
      <c r="AV40" s="102"/>
      <c r="AW40" s="106">
        <f ca="1">AR40-AU40</f>
        <v>0</v>
      </c>
      <c r="AX40" s="102"/>
    </row>
    <row r="41" spans="1:66" ht="15.75" thickBot="1" x14ac:dyDescent="0.3">
      <c r="A41" s="105" t="s">
        <v>6</v>
      </c>
      <c r="B41" s="103"/>
      <c r="C41" s="103" t="str">
        <f ca="1">VLOOKUP(0,BF21:BL23,2,FALSE)</f>
        <v>3. Gruppe C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5">
        <f ca="1">VLOOKUP(0,BF21:BL23,3,FALSE)</f>
        <v>0</v>
      </c>
      <c r="Q41" s="104"/>
      <c r="R41" s="103">
        <f ca="1">VLOOKUP(0,BF21:BL23,4,FALSE)</f>
        <v>0</v>
      </c>
      <c r="S41" s="103"/>
      <c r="T41" s="23" t="s">
        <v>28</v>
      </c>
      <c r="U41" s="103">
        <f ca="1">VLOOKUP(0,BF21:BL23,5,FALSE)</f>
        <v>0</v>
      </c>
      <c r="V41" s="104"/>
      <c r="W41" s="105">
        <f ca="1">R41-U41</f>
        <v>0</v>
      </c>
      <c r="X41" s="104"/>
      <c r="Y41" s="21"/>
      <c r="Z41" s="21"/>
      <c r="AA41" s="105" t="s">
        <v>6</v>
      </c>
      <c r="AB41" s="103"/>
      <c r="AC41" s="103" t="str">
        <f ca="1">VLOOKUP(0,BF25:BL27,2,FALSE)</f>
        <v>3. Gruppe D</v>
      </c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4"/>
      <c r="AP41" s="105">
        <f ca="1">VLOOKUP(0,BF25:BL27,3,FALSE)</f>
        <v>0</v>
      </c>
      <c r="AQ41" s="104"/>
      <c r="AR41" s="105">
        <f ca="1">VLOOKUP(0,BF25:BL27,4,FALSE)</f>
        <v>0</v>
      </c>
      <c r="AS41" s="103"/>
      <c r="AT41" s="23" t="s">
        <v>28</v>
      </c>
      <c r="AU41" s="103">
        <f ca="1">VLOOKUP(0,BF25:BL27,5,FALSE)</f>
        <v>0</v>
      </c>
      <c r="AV41" s="104"/>
      <c r="AW41" s="105">
        <f ca="1">AR41-AU41</f>
        <v>0</v>
      </c>
      <c r="AX41" s="104"/>
    </row>
    <row r="42" spans="1:66" ht="15.7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66" ht="15.75" thickBot="1" x14ac:dyDescent="0.3">
      <c r="A43" s="110" t="s">
        <v>37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 t="s">
        <v>41</v>
      </c>
      <c r="Q43" s="107"/>
      <c r="R43" s="107" t="s">
        <v>31</v>
      </c>
      <c r="S43" s="107"/>
      <c r="T43" s="107"/>
      <c r="U43" s="107"/>
      <c r="V43" s="107"/>
      <c r="W43" s="107" t="s">
        <v>42</v>
      </c>
      <c r="X43" s="108"/>
      <c r="Y43" s="21"/>
      <c r="Z43" s="21"/>
      <c r="AA43" s="110" t="s">
        <v>38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 t="s">
        <v>41</v>
      </c>
      <c r="AQ43" s="107"/>
      <c r="AR43" s="107" t="s">
        <v>31</v>
      </c>
      <c r="AS43" s="107"/>
      <c r="AT43" s="107"/>
      <c r="AU43" s="107"/>
      <c r="AV43" s="107"/>
      <c r="AW43" s="107" t="s">
        <v>42</v>
      </c>
      <c r="AX43" s="108"/>
    </row>
    <row r="44" spans="1:66" x14ac:dyDescent="0.25">
      <c r="A44" s="109" t="s">
        <v>4</v>
      </c>
      <c r="B44" s="99"/>
      <c r="C44" s="99" t="str">
        <f ca="1">VLOOKUP(2,BF29:BL31,2,FALSE)</f>
        <v>1. Gruppe C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P44" s="109">
        <f ca="1">VLOOKUP(2,BF29:BL31,3,FALSE)</f>
        <v>0</v>
      </c>
      <c r="Q44" s="100"/>
      <c r="R44" s="99">
        <f ca="1">VLOOKUP(2,BF29:BL31,4,FALSE)</f>
        <v>0</v>
      </c>
      <c r="S44" s="99"/>
      <c r="T44" s="22" t="s">
        <v>28</v>
      </c>
      <c r="U44" s="99">
        <f ca="1">VLOOKUP(2,BF29:BL31,5,FALSE)</f>
        <v>0</v>
      </c>
      <c r="V44" s="100"/>
      <c r="W44" s="109">
        <f ca="1">R44-U44</f>
        <v>0</v>
      </c>
      <c r="X44" s="100"/>
      <c r="Y44" s="21"/>
      <c r="Z44" s="21"/>
      <c r="AA44" s="109" t="s">
        <v>4</v>
      </c>
      <c r="AB44" s="99"/>
      <c r="AC44" s="99" t="str">
        <f ca="1">VLOOKUP(2,BF33:BL35,2,FALSE)</f>
        <v>1. Gruppe D</v>
      </c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109">
        <f ca="1">VLOOKUP(2,BF33:BL35,3,FALSE)</f>
        <v>0</v>
      </c>
      <c r="AQ44" s="100"/>
      <c r="AR44" s="99">
        <f ca="1">VLOOKUP(2,BF33:BL35,4,FALSE)</f>
        <v>0</v>
      </c>
      <c r="AS44" s="99"/>
      <c r="AT44" s="22" t="s">
        <v>28</v>
      </c>
      <c r="AU44" s="99">
        <f ca="1">VLOOKUP(2,BF33:BL35,5,FALSE)</f>
        <v>0</v>
      </c>
      <c r="AV44" s="100"/>
      <c r="AW44" s="109">
        <f ca="1">AR44-AU44</f>
        <v>0</v>
      </c>
      <c r="AX44" s="100"/>
    </row>
    <row r="45" spans="1:66" x14ac:dyDescent="0.25">
      <c r="A45" s="106" t="s">
        <v>5</v>
      </c>
      <c r="B45" s="101"/>
      <c r="C45" s="101" t="str">
        <f ca="1">VLOOKUP(1,BF29:BL31,2,FALSE)</f>
        <v>2. Gruppe D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  <c r="P45" s="106">
        <f ca="1">VLOOKUP(1,BF29:BL31,3,FALSE)</f>
        <v>0</v>
      </c>
      <c r="Q45" s="102"/>
      <c r="R45" s="101">
        <f ca="1">VLOOKUP(1,BF29:BL31,4,FALSE)</f>
        <v>0</v>
      </c>
      <c r="S45" s="101"/>
      <c r="T45" t="s">
        <v>28</v>
      </c>
      <c r="U45" s="101">
        <f ca="1">VLOOKUP(1,BF29:BL31,5,FALSE)</f>
        <v>0</v>
      </c>
      <c r="V45" s="102"/>
      <c r="W45" s="106">
        <f ca="1">R45-U45</f>
        <v>0</v>
      </c>
      <c r="X45" s="102"/>
      <c r="Y45" s="21"/>
      <c r="Z45" s="21"/>
      <c r="AA45" s="106" t="s">
        <v>5</v>
      </c>
      <c r="AB45" s="101"/>
      <c r="AC45" s="101" t="str">
        <f ca="1">VLOOKUP(1,BF33:BL35,2,FALSE)</f>
        <v>2. Gruppe A</v>
      </c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6">
        <f ca="1">VLOOKUP(1,BF33:BL35,3,FALSE)</f>
        <v>0</v>
      </c>
      <c r="AQ45" s="102"/>
      <c r="AR45" s="101">
        <f ca="1">VLOOKUP(1,BF33:BL35,4,FALSE)</f>
        <v>0</v>
      </c>
      <c r="AS45" s="101"/>
      <c r="AT45" t="s">
        <v>28</v>
      </c>
      <c r="AU45" s="101">
        <f ca="1">VLOOKUP(1,BF33:BL35,5,FALSE)</f>
        <v>0</v>
      </c>
      <c r="AV45" s="102"/>
      <c r="AW45" s="106">
        <f ca="1">AR45-AU45</f>
        <v>0</v>
      </c>
      <c r="AX45" s="102"/>
    </row>
    <row r="46" spans="1:66" ht="15.75" thickBot="1" x14ac:dyDescent="0.3">
      <c r="A46" s="105" t="s">
        <v>6</v>
      </c>
      <c r="B46" s="103"/>
      <c r="C46" s="103" t="str">
        <f ca="1">VLOOKUP(0,BF29:BL31,2,FALSE)</f>
        <v>3. Gruppe A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105">
        <f ca="1">VLOOKUP(0,BF29:BL31,3,FALSE)</f>
        <v>0</v>
      </c>
      <c r="Q46" s="104"/>
      <c r="R46" s="103">
        <f ca="1">VLOOKUP(0,BF29:BL31,4,FALSE)</f>
        <v>0</v>
      </c>
      <c r="S46" s="103"/>
      <c r="T46" s="23" t="s">
        <v>28</v>
      </c>
      <c r="U46" s="103">
        <f ca="1">VLOOKUP(0,BF29:BL31,5,FALSE)</f>
        <v>0</v>
      </c>
      <c r="V46" s="104"/>
      <c r="W46" s="105">
        <f ca="1">R46-U46</f>
        <v>0</v>
      </c>
      <c r="X46" s="104"/>
      <c r="Y46" s="21"/>
      <c r="Z46" s="21"/>
      <c r="AA46" s="105" t="s">
        <v>6</v>
      </c>
      <c r="AB46" s="103"/>
      <c r="AC46" s="103" t="str">
        <f ca="1">VLOOKUP(0,BF33:BL35,2,FALSE)</f>
        <v>3. Gruppe B</v>
      </c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4"/>
      <c r="AP46" s="105">
        <f ca="1">VLOOKUP(0,BF33:BL35,3,FALSE)</f>
        <v>0</v>
      </c>
      <c r="AQ46" s="104"/>
      <c r="AR46" s="103">
        <f ca="1">VLOOKUP(0,BF33:BL35,4,FALSE)</f>
        <v>0</v>
      </c>
      <c r="AS46" s="103"/>
      <c r="AT46" s="23" t="s">
        <v>28</v>
      </c>
      <c r="AU46" s="103">
        <f ca="1">VLOOKUP(0,BF33:BL35,5,FALSE)</f>
        <v>0</v>
      </c>
      <c r="AV46" s="104"/>
      <c r="AW46" s="105">
        <f ca="1">AR46-AU46</f>
        <v>0</v>
      </c>
      <c r="AX46" s="104"/>
    </row>
    <row r="47" spans="1:66" ht="37.5" x14ac:dyDescent="0.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 t="s">
        <v>0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66" ht="15.75" x14ac:dyDescent="0.25">
      <c r="A48" s="7"/>
      <c r="B48" s="90" t="s">
        <v>17</v>
      </c>
      <c r="C48" s="90"/>
      <c r="D48" s="90"/>
      <c r="E48" s="90"/>
      <c r="F48" s="90"/>
      <c r="G48" s="93">
        <v>0.57291666666666663</v>
      </c>
      <c r="H48" s="93"/>
      <c r="I48" s="93"/>
      <c r="J48" s="93"/>
      <c r="K48" s="93"/>
      <c r="L48" s="90" t="s">
        <v>18</v>
      </c>
      <c r="M48" s="90"/>
      <c r="N48" s="90"/>
      <c r="S48" s="90" t="s">
        <v>19</v>
      </c>
      <c r="T48" s="90"/>
      <c r="U48" s="90"/>
      <c r="V48" s="90"/>
      <c r="W48" s="90"/>
      <c r="X48" s="90"/>
      <c r="Y48" s="91">
        <v>1.0416666666666666E-2</v>
      </c>
      <c r="Z48" s="91"/>
      <c r="AA48" s="91"/>
      <c r="AB48" s="91"/>
      <c r="AC48" s="91"/>
      <c r="AD48" s="90" t="s">
        <v>20</v>
      </c>
      <c r="AE48" s="90"/>
      <c r="AF48" s="90"/>
      <c r="AJ48" s="7"/>
      <c r="AK48" s="90" t="s">
        <v>21</v>
      </c>
      <c r="AL48" s="90"/>
      <c r="AM48" s="90"/>
      <c r="AN48" s="90"/>
      <c r="AO48" s="90"/>
      <c r="AP48" s="91">
        <v>1.3888888888888889E-3</v>
      </c>
      <c r="AQ48" s="91"/>
      <c r="AR48" s="91"/>
      <c r="AS48" s="91"/>
      <c r="AT48" s="91"/>
      <c r="AU48" s="90" t="s">
        <v>20</v>
      </c>
      <c r="AV48" s="90"/>
      <c r="AW48" s="90"/>
    </row>
    <row r="49" spans="1:59" ht="15.75" x14ac:dyDescent="0.25">
      <c r="B49" s="8"/>
      <c r="C49" s="8"/>
      <c r="D49" s="8"/>
      <c r="E49" s="8"/>
      <c r="F49" s="8"/>
      <c r="G49" s="17"/>
      <c r="H49" s="17"/>
      <c r="I49" s="17"/>
      <c r="J49" s="17"/>
      <c r="K49" s="17"/>
      <c r="L49" s="8"/>
      <c r="M49" s="8"/>
      <c r="N49" s="8"/>
      <c r="S49" s="8"/>
      <c r="T49" s="8"/>
      <c r="U49" s="8"/>
      <c r="V49" s="8"/>
      <c r="W49" s="8"/>
      <c r="X49" s="8"/>
      <c r="Y49" s="16"/>
      <c r="Z49" s="16"/>
      <c r="AA49" s="16"/>
      <c r="AB49" s="16"/>
      <c r="AC49" s="16"/>
      <c r="AD49" s="8"/>
      <c r="AE49" s="8"/>
      <c r="AF49" s="8"/>
      <c r="AJ49" s="7"/>
      <c r="AK49" s="8"/>
      <c r="AL49" s="8"/>
      <c r="AM49" s="8"/>
      <c r="AN49" s="8"/>
      <c r="AO49" s="8"/>
      <c r="AP49" s="16"/>
      <c r="AQ49" s="16"/>
      <c r="AR49" s="16"/>
      <c r="AS49" s="16"/>
      <c r="AT49" s="16"/>
      <c r="AU49" s="8"/>
      <c r="AV49" s="8"/>
      <c r="AW49" s="8"/>
    </row>
    <row r="50" spans="1:59" ht="15.75" thickBot="1" x14ac:dyDescent="0.3">
      <c r="A50" s="19" t="s">
        <v>68</v>
      </c>
    </row>
    <row r="51" spans="1:59" ht="20.100000000000001" customHeight="1" thickBot="1" x14ac:dyDescent="0.3">
      <c r="A51" s="120" t="s">
        <v>43</v>
      </c>
      <c r="B51" s="121"/>
      <c r="C51" s="120" t="s">
        <v>44</v>
      </c>
      <c r="D51" s="122"/>
      <c r="E51" s="121"/>
      <c r="F51" s="120" t="s">
        <v>25</v>
      </c>
      <c r="G51" s="122"/>
      <c r="H51" s="122"/>
      <c r="I51" s="121"/>
      <c r="J51" s="120" t="s">
        <v>138</v>
      </c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1"/>
      <c r="AR51" s="120" t="s">
        <v>27</v>
      </c>
      <c r="AS51" s="122"/>
      <c r="AT51" s="122"/>
      <c r="AU51" s="122"/>
      <c r="AV51" s="121"/>
      <c r="AW51" s="123"/>
      <c r="AX51" s="124"/>
    </row>
    <row r="52" spans="1:59" ht="20.100000000000001" customHeight="1" x14ac:dyDescent="0.25">
      <c r="A52" s="125">
        <v>17</v>
      </c>
      <c r="B52" s="127"/>
      <c r="C52" s="125">
        <v>1</v>
      </c>
      <c r="D52" s="126"/>
      <c r="E52" s="127"/>
      <c r="F52" s="134">
        <f>G48</f>
        <v>0.57291666666666663</v>
      </c>
      <c r="G52" s="126"/>
      <c r="H52" s="126"/>
      <c r="I52" s="127"/>
      <c r="J52" s="125" t="str">
        <f>IF(ISBLANK(AS32),"",C39)</f>
        <v/>
      </c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 t="s">
        <v>29</v>
      </c>
      <c r="AA52" s="126"/>
      <c r="AB52" s="126" t="str">
        <f>IF(ISBLANK(AS33),"",AC40)</f>
        <v/>
      </c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7"/>
      <c r="AR52" s="125"/>
      <c r="AS52" s="126"/>
      <c r="AT52" s="126" t="s">
        <v>29</v>
      </c>
      <c r="AU52" s="126"/>
      <c r="AV52" s="127"/>
      <c r="AW52" s="30"/>
      <c r="AX52" s="31"/>
      <c r="AZ52" s="36"/>
      <c r="BA52" s="36">
        <f>IF(ISBLANK($AR52),0,IF($AR52&gt;$AU52,3,IF($AR52=$AU52,1,0)))</f>
        <v>0</v>
      </c>
      <c r="BB52" s="36"/>
      <c r="BC52" s="36">
        <f>IF(ISBLANK($AU52),0,IF($AR52&lt;$AU52,3,IF($AR52=$AU52,1,0)))</f>
        <v>0</v>
      </c>
      <c r="BD52" s="36"/>
      <c r="BE52" s="36"/>
      <c r="BF52" s="36"/>
      <c r="BG52" s="36"/>
    </row>
    <row r="53" spans="1:59" ht="15.75" thickBot="1" x14ac:dyDescent="0.3">
      <c r="A53" s="131"/>
      <c r="B53" s="132"/>
      <c r="C53" s="131"/>
      <c r="D53" s="133"/>
      <c r="E53" s="132"/>
      <c r="F53" s="131"/>
      <c r="G53" s="133"/>
      <c r="H53" s="133"/>
      <c r="I53" s="132"/>
      <c r="J53" s="128" t="s">
        <v>45</v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32"/>
      <c r="AA53" s="32"/>
      <c r="AB53" s="129" t="s">
        <v>46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30"/>
      <c r="AR53" s="131"/>
      <c r="AS53" s="133"/>
      <c r="AT53" s="133"/>
      <c r="AU53" s="133"/>
      <c r="AV53" s="132"/>
      <c r="AW53" s="33"/>
      <c r="AX53" s="34"/>
      <c r="AZ53" s="36"/>
      <c r="BA53" s="36"/>
      <c r="BB53" s="36"/>
      <c r="BC53" s="36"/>
      <c r="BD53" s="36"/>
      <c r="BE53" s="36"/>
      <c r="BF53" s="36"/>
      <c r="BG53" s="36"/>
    </row>
    <row r="54" spans="1:59" ht="5.0999999999999996" customHeight="1" thickBo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Z54" s="36"/>
      <c r="BA54" s="36"/>
      <c r="BB54" s="36"/>
      <c r="BC54" s="36"/>
      <c r="BD54" s="36"/>
      <c r="BE54" s="36"/>
      <c r="BF54" s="36"/>
      <c r="BG54" s="36"/>
    </row>
    <row r="55" spans="1:59" ht="20.100000000000001" customHeight="1" thickBot="1" x14ac:dyDescent="0.3">
      <c r="A55" s="120" t="s">
        <v>43</v>
      </c>
      <c r="B55" s="121"/>
      <c r="C55" s="120" t="s">
        <v>44</v>
      </c>
      <c r="D55" s="122"/>
      <c r="E55" s="121"/>
      <c r="F55" s="120" t="s">
        <v>25</v>
      </c>
      <c r="G55" s="122"/>
      <c r="H55" s="122"/>
      <c r="I55" s="121"/>
      <c r="J55" s="120" t="s">
        <v>139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1"/>
      <c r="AR55" s="120" t="s">
        <v>27</v>
      </c>
      <c r="AS55" s="122"/>
      <c r="AT55" s="122"/>
      <c r="AU55" s="122"/>
      <c r="AV55" s="121"/>
      <c r="AW55" s="123"/>
      <c r="AX55" s="124"/>
      <c r="AZ55" s="36"/>
      <c r="BA55" s="36"/>
      <c r="BB55" s="36"/>
      <c r="BC55" s="36"/>
      <c r="BD55" s="36"/>
      <c r="BE55" s="36"/>
      <c r="BF55" s="36"/>
      <c r="BG55" s="36"/>
    </row>
    <row r="56" spans="1:59" x14ac:dyDescent="0.25">
      <c r="A56" s="125">
        <v>18</v>
      </c>
      <c r="B56" s="127"/>
      <c r="C56" s="125">
        <v>2</v>
      </c>
      <c r="D56" s="126"/>
      <c r="E56" s="127"/>
      <c r="F56" s="134">
        <f>F52</f>
        <v>0.57291666666666663</v>
      </c>
      <c r="G56" s="126"/>
      <c r="H56" s="126"/>
      <c r="I56" s="127"/>
      <c r="J56" s="125" t="str">
        <f>IF(ISBLANK(AS33),"",AC39)</f>
        <v/>
      </c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 t="s">
        <v>29</v>
      </c>
      <c r="AA56" s="126"/>
      <c r="AB56" s="126" t="str">
        <f>IF(ISBLANK(AS32),"",C40)</f>
        <v/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7"/>
      <c r="AR56" s="125"/>
      <c r="AS56" s="126"/>
      <c r="AT56" s="126" t="s">
        <v>29</v>
      </c>
      <c r="AU56" s="126"/>
      <c r="AV56" s="127"/>
      <c r="AW56" s="30"/>
      <c r="AX56" s="31"/>
      <c r="AZ56" s="36"/>
      <c r="BA56" s="36">
        <f>IF(ISBLANK($AR56),0,IF($AR56&gt;$AU56,3,IF($AR56=$AU56,1,0)))</f>
        <v>0</v>
      </c>
      <c r="BB56" s="36"/>
      <c r="BC56" s="36">
        <f>IF(ISBLANK($AU56),0,IF($AR56&lt;$AU56,3,IF($AR56=$AU56,1,0)))</f>
        <v>0</v>
      </c>
      <c r="BD56" s="36"/>
      <c r="BE56" s="36"/>
      <c r="BF56" s="36"/>
      <c r="BG56" s="36"/>
    </row>
    <row r="57" spans="1:59" ht="15.75" thickBot="1" x14ac:dyDescent="0.3">
      <c r="A57" s="131"/>
      <c r="B57" s="132"/>
      <c r="C57" s="131"/>
      <c r="D57" s="133"/>
      <c r="E57" s="132"/>
      <c r="F57" s="131"/>
      <c r="G57" s="133"/>
      <c r="H57" s="133"/>
      <c r="I57" s="132"/>
      <c r="J57" s="128" t="s">
        <v>47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32"/>
      <c r="AA57" s="32"/>
      <c r="AB57" s="129" t="s">
        <v>48</v>
      </c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30"/>
      <c r="AR57" s="131"/>
      <c r="AS57" s="133"/>
      <c r="AT57" s="133"/>
      <c r="AU57" s="133"/>
      <c r="AV57" s="132"/>
      <c r="AW57" s="33"/>
      <c r="AX57" s="34"/>
      <c r="AZ57" s="36"/>
      <c r="BA57" s="36"/>
      <c r="BB57" s="36"/>
      <c r="BC57" s="36"/>
      <c r="BD57" s="36"/>
      <c r="BE57" s="36"/>
      <c r="BF57" s="36"/>
      <c r="BG57" s="36"/>
    </row>
    <row r="58" spans="1:59" ht="5.0999999999999996" customHeight="1" thickBo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Z58" s="36"/>
      <c r="BA58" s="36"/>
      <c r="BB58" s="36"/>
      <c r="BC58" s="36"/>
      <c r="BD58" s="36"/>
      <c r="BE58" s="36"/>
      <c r="BF58" s="36"/>
      <c r="BG58" s="36"/>
    </row>
    <row r="59" spans="1:59" ht="20.100000000000001" customHeight="1" thickBot="1" x14ac:dyDescent="0.3">
      <c r="A59" s="120" t="s">
        <v>43</v>
      </c>
      <c r="B59" s="121"/>
      <c r="C59" s="120" t="s">
        <v>44</v>
      </c>
      <c r="D59" s="122"/>
      <c r="E59" s="121"/>
      <c r="F59" s="120" t="s">
        <v>25</v>
      </c>
      <c r="G59" s="122"/>
      <c r="H59" s="122"/>
      <c r="I59" s="121"/>
      <c r="J59" s="120" t="s">
        <v>140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1"/>
      <c r="AR59" s="120" t="s">
        <v>27</v>
      </c>
      <c r="AS59" s="122"/>
      <c r="AT59" s="122"/>
      <c r="AU59" s="122"/>
      <c r="AV59" s="121"/>
      <c r="AW59" s="123"/>
      <c r="AX59" s="124"/>
      <c r="AZ59" s="36"/>
      <c r="BA59" s="36"/>
      <c r="BB59" s="36"/>
      <c r="BC59" s="36"/>
      <c r="BD59" s="36"/>
      <c r="BE59" s="36"/>
      <c r="BF59" s="36"/>
      <c r="BG59" s="36"/>
    </row>
    <row r="60" spans="1:59" ht="20.100000000000001" customHeight="1" x14ac:dyDescent="0.25">
      <c r="A60" s="125">
        <v>19</v>
      </c>
      <c r="B60" s="127"/>
      <c r="C60" s="125">
        <v>1</v>
      </c>
      <c r="D60" s="126"/>
      <c r="E60" s="127"/>
      <c r="F60" s="134">
        <f>F52+Y48+AP48</f>
        <v>0.58472222222222214</v>
      </c>
      <c r="G60" s="126"/>
      <c r="H60" s="126"/>
      <c r="I60" s="127"/>
      <c r="J60" s="125" t="str">
        <f>IF(ISBLANK(AS34),"",C44)</f>
        <v/>
      </c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 t="s">
        <v>29</v>
      </c>
      <c r="AA60" s="126"/>
      <c r="AB60" s="126" t="str">
        <f>IF(ISBLANK(AS35),"",AC45)</f>
        <v/>
      </c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7"/>
      <c r="AR60" s="125"/>
      <c r="AS60" s="126"/>
      <c r="AT60" s="126" t="s">
        <v>29</v>
      </c>
      <c r="AU60" s="126"/>
      <c r="AV60" s="127"/>
      <c r="AW60" s="30"/>
      <c r="AX60" s="31"/>
      <c r="AZ60" s="36"/>
      <c r="BA60" s="36">
        <f>IF(ISBLANK($AR60),0,IF($AR60&gt;$AU60,3,IF($AR60=$AU60,1,0)))</f>
        <v>0</v>
      </c>
      <c r="BB60" s="36"/>
      <c r="BC60" s="36">
        <f>IF(ISBLANK($AU60),0,IF($AR60&lt;$AU60,3,IF($AR60=$AU60,1,0)))</f>
        <v>0</v>
      </c>
      <c r="BD60" s="36"/>
      <c r="BE60" s="36"/>
      <c r="BF60" s="36"/>
      <c r="BG60" s="36"/>
    </row>
    <row r="61" spans="1:59" ht="15.75" thickBot="1" x14ac:dyDescent="0.3">
      <c r="A61" s="131"/>
      <c r="B61" s="132"/>
      <c r="C61" s="131"/>
      <c r="D61" s="133"/>
      <c r="E61" s="132"/>
      <c r="F61" s="131"/>
      <c r="G61" s="133"/>
      <c r="H61" s="133"/>
      <c r="I61" s="132"/>
      <c r="J61" s="128" t="s">
        <v>49</v>
      </c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32"/>
      <c r="AA61" s="32"/>
      <c r="AB61" s="129" t="s">
        <v>50</v>
      </c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30"/>
      <c r="AR61" s="131"/>
      <c r="AS61" s="133"/>
      <c r="AT61" s="133"/>
      <c r="AU61" s="133"/>
      <c r="AV61" s="132"/>
      <c r="AW61" s="33"/>
      <c r="AX61" s="34"/>
      <c r="AZ61" s="36"/>
      <c r="BA61" s="36"/>
      <c r="BB61" s="36"/>
      <c r="BC61" s="36"/>
      <c r="BD61" s="36"/>
      <c r="BE61" s="36"/>
      <c r="BF61" s="36"/>
      <c r="BG61" s="36"/>
    </row>
    <row r="62" spans="1:59" ht="5.0999999999999996" customHeight="1" thickBo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Z62" s="36"/>
      <c r="BA62" s="36"/>
      <c r="BB62" s="36"/>
      <c r="BC62" s="36"/>
      <c r="BD62" s="36"/>
      <c r="BE62" s="36"/>
      <c r="BF62" s="36"/>
      <c r="BG62" s="36"/>
    </row>
    <row r="63" spans="1:59" ht="20.100000000000001" customHeight="1" thickBot="1" x14ac:dyDescent="0.3">
      <c r="A63" s="120" t="s">
        <v>43</v>
      </c>
      <c r="B63" s="121"/>
      <c r="C63" s="120" t="s">
        <v>44</v>
      </c>
      <c r="D63" s="122"/>
      <c r="E63" s="121"/>
      <c r="F63" s="120" t="s">
        <v>25</v>
      </c>
      <c r="G63" s="122"/>
      <c r="H63" s="122"/>
      <c r="I63" s="121"/>
      <c r="J63" s="120" t="s">
        <v>141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1"/>
      <c r="AR63" s="120" t="s">
        <v>27</v>
      </c>
      <c r="AS63" s="122"/>
      <c r="AT63" s="122"/>
      <c r="AU63" s="122"/>
      <c r="AV63" s="121"/>
      <c r="AW63" s="123"/>
      <c r="AX63" s="124"/>
      <c r="AZ63" s="36"/>
      <c r="BA63" s="36"/>
      <c r="BB63" s="36"/>
      <c r="BC63" s="36"/>
      <c r="BD63" s="36"/>
      <c r="BE63" s="36"/>
      <c r="BF63" s="36"/>
      <c r="BG63" s="36"/>
    </row>
    <row r="64" spans="1:59" ht="20.100000000000001" customHeight="1" x14ac:dyDescent="0.25">
      <c r="A64" s="125">
        <v>20</v>
      </c>
      <c r="B64" s="127"/>
      <c r="C64" s="125">
        <v>2</v>
      </c>
      <c r="D64" s="126"/>
      <c r="E64" s="127"/>
      <c r="F64" s="134">
        <f>F60</f>
        <v>0.58472222222222214</v>
      </c>
      <c r="G64" s="126"/>
      <c r="H64" s="126"/>
      <c r="I64" s="127"/>
      <c r="J64" s="125" t="str">
        <f>IF(ISBLANK(AS35),"",AC44)</f>
        <v/>
      </c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 t="s">
        <v>29</v>
      </c>
      <c r="AA64" s="126"/>
      <c r="AB64" s="126" t="str">
        <f>IF(ISBLANK(AS34),"",C45)</f>
        <v/>
      </c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7"/>
      <c r="AR64" s="125"/>
      <c r="AS64" s="126"/>
      <c r="AT64" s="126" t="s">
        <v>29</v>
      </c>
      <c r="AU64" s="126"/>
      <c r="AV64" s="127"/>
      <c r="AW64" s="30"/>
      <c r="AX64" s="31"/>
      <c r="AZ64" s="36"/>
      <c r="BA64" s="36">
        <f>IF(ISBLANK($AR64),0,IF($AR64&gt;$AU64,3,IF($AR64=$AU64,1,0)))</f>
        <v>0</v>
      </c>
      <c r="BB64" s="36"/>
      <c r="BC64" s="36">
        <f>IF(ISBLANK($AU64),0,IF($AR64&lt;$AU64,3,IF($AR64=$AU64,1,0)))</f>
        <v>0</v>
      </c>
      <c r="BD64" s="36"/>
      <c r="BE64" s="36"/>
      <c r="BF64" s="36"/>
      <c r="BG64" s="36"/>
    </row>
    <row r="65" spans="1:59" ht="15.75" thickBot="1" x14ac:dyDescent="0.3">
      <c r="A65" s="131"/>
      <c r="B65" s="132"/>
      <c r="C65" s="131"/>
      <c r="D65" s="133"/>
      <c r="E65" s="132"/>
      <c r="F65" s="131"/>
      <c r="G65" s="133"/>
      <c r="H65" s="133"/>
      <c r="I65" s="132"/>
      <c r="J65" s="128" t="s">
        <v>51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32"/>
      <c r="AA65" s="32"/>
      <c r="AB65" s="129" t="s">
        <v>52</v>
      </c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30"/>
      <c r="AR65" s="131"/>
      <c r="AS65" s="133"/>
      <c r="AT65" s="133"/>
      <c r="AU65" s="133"/>
      <c r="AV65" s="132"/>
      <c r="AW65" s="33"/>
      <c r="AX65" s="34"/>
      <c r="AZ65" s="36"/>
      <c r="BA65" s="36"/>
      <c r="BB65" s="36"/>
      <c r="BC65" s="36"/>
      <c r="BD65" s="36"/>
      <c r="BE65" s="36"/>
      <c r="BF65" s="36"/>
      <c r="BG65" s="36"/>
    </row>
    <row r="66" spans="1:59" ht="15.75" thickBo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Z66" s="36"/>
      <c r="BA66" s="36"/>
      <c r="BB66" s="36"/>
      <c r="BC66" s="36"/>
      <c r="BD66" s="36"/>
      <c r="BE66" s="36"/>
      <c r="BF66" s="36"/>
      <c r="BG66" s="36"/>
    </row>
    <row r="67" spans="1:59" ht="20.100000000000001" customHeight="1" thickBot="1" x14ac:dyDescent="0.3">
      <c r="A67" s="135" t="s">
        <v>43</v>
      </c>
      <c r="B67" s="136"/>
      <c r="C67" s="135" t="s">
        <v>44</v>
      </c>
      <c r="D67" s="137"/>
      <c r="E67" s="136"/>
      <c r="F67" s="135" t="s">
        <v>25</v>
      </c>
      <c r="G67" s="137"/>
      <c r="H67" s="137"/>
      <c r="I67" s="136"/>
      <c r="J67" s="135" t="s">
        <v>53</v>
      </c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6"/>
      <c r="AR67" s="135" t="s">
        <v>27</v>
      </c>
      <c r="AS67" s="137"/>
      <c r="AT67" s="137"/>
      <c r="AU67" s="137"/>
      <c r="AV67" s="136"/>
      <c r="AW67" s="138"/>
      <c r="AX67" s="139"/>
      <c r="AZ67" s="36"/>
      <c r="BA67" s="36"/>
      <c r="BB67" s="36"/>
      <c r="BC67" s="36"/>
      <c r="BD67" s="36"/>
      <c r="BE67" s="36"/>
      <c r="BF67" s="36"/>
      <c r="BG67" s="36"/>
    </row>
    <row r="68" spans="1:59" ht="20.100000000000001" customHeight="1" x14ac:dyDescent="0.25">
      <c r="A68" s="125">
        <v>21</v>
      </c>
      <c r="B68" s="127"/>
      <c r="C68" s="125">
        <v>1</v>
      </c>
      <c r="D68" s="126"/>
      <c r="E68" s="127"/>
      <c r="F68" s="134">
        <f>F60+Y48+AP48</f>
        <v>0.59652777777777766</v>
      </c>
      <c r="G68" s="126"/>
      <c r="H68" s="126"/>
      <c r="I68" s="127"/>
      <c r="J68" s="125" t="str">
        <f>IF(ISBLANK(AS32),"",C41)</f>
        <v/>
      </c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 t="s">
        <v>29</v>
      </c>
      <c r="AA68" s="126"/>
      <c r="AB68" s="126" t="str">
        <f>IF(ISBLANK(AS33),"",AC41)</f>
        <v/>
      </c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7"/>
      <c r="AR68" s="125"/>
      <c r="AS68" s="126"/>
      <c r="AT68" s="126" t="s">
        <v>29</v>
      </c>
      <c r="AU68" s="126"/>
      <c r="AV68" s="127"/>
      <c r="AW68" s="30"/>
      <c r="AX68" s="31"/>
      <c r="AZ68" s="36"/>
      <c r="BA68" s="36">
        <f>IF(ISBLANK($AR68),0,IF($AR68&gt;$AU68,3,IF($AR68=$AU68,1,0)))</f>
        <v>0</v>
      </c>
      <c r="BB68" s="36"/>
      <c r="BC68" s="36">
        <f>IF(ISBLANK($AU68),0,IF($AR68&lt;$AU68,3,IF($AR68=$AU68,1,0)))</f>
        <v>0</v>
      </c>
      <c r="BD68" s="36"/>
      <c r="BE68" s="36"/>
      <c r="BF68" s="36"/>
      <c r="BG68" s="36"/>
    </row>
    <row r="69" spans="1:59" ht="15.75" thickBot="1" x14ac:dyDescent="0.3">
      <c r="A69" s="131"/>
      <c r="B69" s="132"/>
      <c r="C69" s="131"/>
      <c r="D69" s="133"/>
      <c r="E69" s="132"/>
      <c r="F69" s="131"/>
      <c r="G69" s="133"/>
      <c r="H69" s="133"/>
      <c r="I69" s="132"/>
      <c r="J69" s="128" t="s">
        <v>57</v>
      </c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32"/>
      <c r="AA69" s="32"/>
      <c r="AB69" s="129" t="s">
        <v>134</v>
      </c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30"/>
      <c r="AR69" s="131"/>
      <c r="AS69" s="133"/>
      <c r="AT69" s="133"/>
      <c r="AU69" s="133"/>
      <c r="AV69" s="132"/>
      <c r="AW69" s="33"/>
      <c r="AX69" s="34"/>
      <c r="AZ69" s="36"/>
      <c r="BA69" s="36"/>
      <c r="BB69" s="36"/>
      <c r="BC69" s="36"/>
      <c r="BD69" s="36"/>
      <c r="BE69" s="36"/>
      <c r="BF69" s="36"/>
      <c r="BG69" s="36"/>
    </row>
    <row r="70" spans="1:59" ht="5.0999999999999996" customHeight="1" thickBo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Z70" s="36"/>
      <c r="BA70" s="36"/>
      <c r="BB70" s="36"/>
      <c r="BC70" s="36"/>
      <c r="BD70" s="36"/>
      <c r="BE70" s="36"/>
      <c r="BF70" s="36"/>
      <c r="BG70" s="36"/>
    </row>
    <row r="71" spans="1:59" ht="20.100000000000001" customHeight="1" thickBot="1" x14ac:dyDescent="0.3">
      <c r="A71" s="135" t="s">
        <v>43</v>
      </c>
      <c r="B71" s="136"/>
      <c r="C71" s="135" t="s">
        <v>44</v>
      </c>
      <c r="D71" s="137"/>
      <c r="E71" s="136"/>
      <c r="F71" s="135" t="s">
        <v>25</v>
      </c>
      <c r="G71" s="137"/>
      <c r="H71" s="137"/>
      <c r="I71" s="136"/>
      <c r="J71" s="135" t="s">
        <v>54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6"/>
      <c r="AR71" s="135" t="s">
        <v>27</v>
      </c>
      <c r="AS71" s="137"/>
      <c r="AT71" s="137"/>
      <c r="AU71" s="137"/>
      <c r="AV71" s="136"/>
      <c r="AW71" s="138"/>
      <c r="AX71" s="139"/>
      <c r="AZ71" s="36"/>
      <c r="BA71" s="36"/>
      <c r="BB71" s="36"/>
      <c r="BC71" s="36"/>
      <c r="BD71" s="36"/>
      <c r="BE71" s="36"/>
      <c r="BF71" s="36"/>
      <c r="BG71" s="36"/>
    </row>
    <row r="72" spans="1:59" ht="20.100000000000001" customHeight="1" x14ac:dyDescent="0.25">
      <c r="A72" s="125">
        <v>22</v>
      </c>
      <c r="B72" s="127"/>
      <c r="C72" s="125">
        <v>2</v>
      </c>
      <c r="D72" s="126"/>
      <c r="E72" s="127"/>
      <c r="F72" s="134">
        <f>F68</f>
        <v>0.59652777777777766</v>
      </c>
      <c r="G72" s="126"/>
      <c r="H72" s="126"/>
      <c r="I72" s="127"/>
      <c r="J72" s="125" t="str">
        <f>IF(ISBLANK(AS34),"",C46)</f>
        <v/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 t="s">
        <v>29</v>
      </c>
      <c r="AA72" s="126"/>
      <c r="AB72" s="126" t="str">
        <f>IF(ISBLANK(AS35),"",AC46)</f>
        <v/>
      </c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7"/>
      <c r="AR72" s="125"/>
      <c r="AS72" s="126"/>
      <c r="AT72" s="126" t="s">
        <v>29</v>
      </c>
      <c r="AU72" s="126"/>
      <c r="AV72" s="127"/>
      <c r="AW72" s="30"/>
      <c r="AX72" s="31"/>
      <c r="AZ72" s="36"/>
      <c r="BA72" s="36">
        <f>IF(ISBLANK($AR72),0,IF($AR72&gt;$AU72,3,IF($AR72=$AU72,1,0)))</f>
        <v>0</v>
      </c>
      <c r="BB72" s="36"/>
      <c r="BC72" s="36">
        <f>IF(ISBLANK($AU72),0,IF($AR72&lt;$AU72,3,IF($AR72=$AU72,1,0)))</f>
        <v>0</v>
      </c>
      <c r="BD72" s="36"/>
      <c r="BE72" s="36"/>
      <c r="BF72" s="36"/>
      <c r="BG72" s="36"/>
    </row>
    <row r="73" spans="1:59" ht="15.75" thickBot="1" x14ac:dyDescent="0.3">
      <c r="A73" s="131"/>
      <c r="B73" s="132"/>
      <c r="C73" s="131"/>
      <c r="D73" s="133"/>
      <c r="E73" s="132"/>
      <c r="F73" s="131"/>
      <c r="G73" s="133"/>
      <c r="H73" s="133"/>
      <c r="I73" s="132"/>
      <c r="J73" s="128" t="s">
        <v>135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32"/>
      <c r="AA73" s="32"/>
      <c r="AB73" s="129" t="s">
        <v>136</v>
      </c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30"/>
      <c r="AR73" s="131"/>
      <c r="AS73" s="133"/>
      <c r="AT73" s="133"/>
      <c r="AU73" s="133"/>
      <c r="AV73" s="132"/>
      <c r="AW73" s="33"/>
      <c r="AX73" s="34"/>
      <c r="AZ73" s="36"/>
      <c r="BA73" s="36"/>
      <c r="BB73" s="36"/>
      <c r="BC73" s="36"/>
      <c r="BD73" s="36"/>
      <c r="BE73" s="36"/>
      <c r="BF73" s="36"/>
      <c r="BG73" s="36"/>
    </row>
    <row r="74" spans="1:59" ht="15.75" thickBo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Z74" s="36"/>
      <c r="BA74" s="36"/>
      <c r="BB74" s="36"/>
      <c r="BC74" s="36"/>
      <c r="BD74" s="36"/>
      <c r="BE74" s="36"/>
      <c r="BF74" s="36"/>
      <c r="BG74" s="36"/>
    </row>
    <row r="75" spans="1:59" ht="20.100000000000001" customHeight="1" thickBot="1" x14ac:dyDescent="0.3">
      <c r="A75" s="140" t="s">
        <v>43</v>
      </c>
      <c r="B75" s="142"/>
      <c r="C75" s="140" t="s">
        <v>44</v>
      </c>
      <c r="D75" s="141"/>
      <c r="E75" s="142"/>
      <c r="F75" s="140" t="s">
        <v>25</v>
      </c>
      <c r="G75" s="141"/>
      <c r="H75" s="141"/>
      <c r="I75" s="142"/>
      <c r="J75" s="140" t="s">
        <v>55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2"/>
      <c r="AR75" s="140" t="s">
        <v>27</v>
      </c>
      <c r="AS75" s="141"/>
      <c r="AT75" s="141"/>
      <c r="AU75" s="141"/>
      <c r="AV75" s="142"/>
      <c r="AW75" s="143"/>
      <c r="AX75" s="144"/>
      <c r="AZ75" s="36"/>
      <c r="BA75" s="36"/>
      <c r="BB75" s="36"/>
      <c r="BC75" s="36"/>
      <c r="BD75" s="36"/>
      <c r="BE75" s="36"/>
      <c r="BF75" s="36"/>
      <c r="BG75" s="36"/>
    </row>
    <row r="76" spans="1:59" ht="20.100000000000001" customHeight="1" x14ac:dyDescent="0.25">
      <c r="A76" s="125">
        <v>23</v>
      </c>
      <c r="B76" s="127"/>
      <c r="C76" s="125">
        <v>1</v>
      </c>
      <c r="D76" s="126"/>
      <c r="E76" s="127"/>
      <c r="F76" s="134">
        <f>F68+Y48+AP48</f>
        <v>0.60833333333333317</v>
      </c>
      <c r="G76" s="126"/>
      <c r="H76" s="126"/>
      <c r="I76" s="127"/>
      <c r="J76" s="125" t="str">
        <f>IF(ISBLANK(AU52),"",IF(BA52=3,AB52,J52))</f>
        <v/>
      </c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 t="s">
        <v>29</v>
      </c>
      <c r="AA76" s="126"/>
      <c r="AB76" s="126" t="str">
        <f>IF(ISBLANK(AU60),"",IF(BA60=3,AB60,J60))</f>
        <v/>
      </c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7"/>
      <c r="AR76" s="125"/>
      <c r="AS76" s="126"/>
      <c r="AT76" s="126" t="s">
        <v>29</v>
      </c>
      <c r="AU76" s="126"/>
      <c r="AV76" s="127"/>
      <c r="AW76" s="30"/>
      <c r="AX76" s="31"/>
      <c r="AZ76" s="36"/>
      <c r="BA76" s="36">
        <f>IF(ISBLANK($AR76),0,IF($AR76&gt;$AU76,3,IF($AR76=$AU76,1,0)))</f>
        <v>0</v>
      </c>
      <c r="BB76" s="36"/>
      <c r="BC76" s="36">
        <f>IF(ISBLANK($AU76),0,IF($AR76&lt;$AU76,3,IF($AR76=$AU76,1,0)))</f>
        <v>0</v>
      </c>
      <c r="BD76" s="36"/>
      <c r="BE76" s="36"/>
      <c r="BF76" s="36"/>
      <c r="BG76" s="36"/>
    </row>
    <row r="77" spans="1:59" ht="15.75" thickBot="1" x14ac:dyDescent="0.3">
      <c r="A77" s="131"/>
      <c r="B77" s="132"/>
      <c r="C77" s="131"/>
      <c r="D77" s="133"/>
      <c r="E77" s="132"/>
      <c r="F77" s="131"/>
      <c r="G77" s="133"/>
      <c r="H77" s="133"/>
      <c r="I77" s="132"/>
      <c r="J77" s="128" t="s">
        <v>100</v>
      </c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32"/>
      <c r="AA77" s="32"/>
      <c r="AB77" s="129" t="s">
        <v>102</v>
      </c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30"/>
      <c r="AR77" s="131"/>
      <c r="AS77" s="133"/>
      <c r="AT77" s="133"/>
      <c r="AU77" s="133"/>
      <c r="AV77" s="132"/>
      <c r="AW77" s="33"/>
      <c r="AX77" s="34"/>
      <c r="AZ77" s="36"/>
      <c r="BA77" s="36"/>
      <c r="BB77" s="36"/>
      <c r="BC77" s="36"/>
      <c r="BD77" s="36"/>
      <c r="BE77" s="36"/>
      <c r="BF77" s="36"/>
      <c r="BG77" s="36"/>
    </row>
    <row r="78" spans="1:59" ht="5.0999999999999996" customHeight="1" thickBo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Z78" s="36"/>
      <c r="BA78" s="36"/>
      <c r="BB78" s="36"/>
      <c r="BC78" s="36"/>
      <c r="BD78" s="36"/>
      <c r="BE78" s="36"/>
      <c r="BF78" s="36"/>
      <c r="BG78" s="36"/>
    </row>
    <row r="79" spans="1:59" ht="20.100000000000001" customHeight="1" thickBot="1" x14ac:dyDescent="0.3">
      <c r="A79" s="140" t="s">
        <v>43</v>
      </c>
      <c r="B79" s="142"/>
      <c r="C79" s="140" t="s">
        <v>44</v>
      </c>
      <c r="D79" s="141"/>
      <c r="E79" s="142"/>
      <c r="F79" s="140" t="s">
        <v>25</v>
      </c>
      <c r="G79" s="141"/>
      <c r="H79" s="141"/>
      <c r="I79" s="142"/>
      <c r="J79" s="140" t="s">
        <v>56</v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2"/>
      <c r="AR79" s="140" t="s">
        <v>27</v>
      </c>
      <c r="AS79" s="141"/>
      <c r="AT79" s="141"/>
      <c r="AU79" s="141"/>
      <c r="AV79" s="142"/>
      <c r="AW79" s="143"/>
      <c r="AX79" s="144"/>
      <c r="AZ79" s="36"/>
      <c r="BA79" s="36"/>
      <c r="BB79" s="36"/>
      <c r="BC79" s="36"/>
      <c r="BD79" s="36"/>
      <c r="BE79" s="36"/>
      <c r="BF79" s="36"/>
      <c r="BG79" s="36"/>
    </row>
    <row r="80" spans="1:59" ht="20.100000000000001" customHeight="1" x14ac:dyDescent="0.25">
      <c r="A80" s="125">
        <v>24</v>
      </c>
      <c r="B80" s="127"/>
      <c r="C80" s="125">
        <v>2</v>
      </c>
      <c r="D80" s="126"/>
      <c r="E80" s="127"/>
      <c r="F80" s="134">
        <f>F76</f>
        <v>0.60833333333333317</v>
      </c>
      <c r="G80" s="126"/>
      <c r="H80" s="126"/>
      <c r="I80" s="127"/>
      <c r="J80" s="125" t="str">
        <f>IF(ISBLANK(AU56),"",IF(BA56=3,AB56,J56))</f>
        <v/>
      </c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 t="s">
        <v>29</v>
      </c>
      <c r="AA80" s="126"/>
      <c r="AB80" s="126" t="str">
        <f>IF(ISBLANK(AU64),"",IF(BA64=3,AB64,J64))</f>
        <v/>
      </c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 t="s">
        <v>29</v>
      </c>
      <c r="AU80" s="126"/>
      <c r="AV80" s="127"/>
      <c r="AW80" s="30"/>
      <c r="AX80" s="31"/>
      <c r="AZ80" s="36"/>
      <c r="BA80" s="36">
        <f>IF(ISBLANK($AR80),0,IF($AR80&gt;$AU80,3,IF($AR80=$AU80,1,0)))</f>
        <v>0</v>
      </c>
      <c r="BB80" s="36"/>
      <c r="BC80" s="36">
        <f>IF(ISBLANK($AU80),0,IF($AR80&lt;$AU80,3,IF($AR80=$AU80,1,0)))</f>
        <v>0</v>
      </c>
      <c r="BD80" s="36"/>
      <c r="BE80" s="36"/>
      <c r="BF80" s="36"/>
      <c r="BG80" s="36"/>
    </row>
    <row r="81" spans="1:59" ht="20.100000000000001" customHeight="1" thickBot="1" x14ac:dyDescent="0.3">
      <c r="A81" s="131"/>
      <c r="B81" s="132"/>
      <c r="C81" s="131"/>
      <c r="D81" s="133"/>
      <c r="E81" s="132"/>
      <c r="F81" s="131"/>
      <c r="G81" s="133"/>
      <c r="H81" s="133"/>
      <c r="I81" s="132"/>
      <c r="J81" s="128" t="s">
        <v>101</v>
      </c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32"/>
      <c r="AA81" s="32"/>
      <c r="AB81" s="129" t="s">
        <v>103</v>
      </c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30"/>
      <c r="AR81" s="131"/>
      <c r="AS81" s="133"/>
      <c r="AT81" s="133"/>
      <c r="AU81" s="133"/>
      <c r="AV81" s="132"/>
      <c r="AW81" s="33"/>
      <c r="AX81" s="34"/>
      <c r="AZ81" s="36"/>
      <c r="BA81" s="36"/>
      <c r="BB81" s="36"/>
      <c r="BC81" s="36"/>
      <c r="BD81" s="36"/>
      <c r="BE81" s="36"/>
      <c r="BF81" s="36"/>
      <c r="BG81" s="36"/>
    </row>
    <row r="82" spans="1:59" ht="15.75" thickBot="1" x14ac:dyDescent="0.3">
      <c r="AZ82" s="36"/>
      <c r="BA82" s="36"/>
      <c r="BB82" s="36"/>
      <c r="BC82" s="36"/>
      <c r="BD82" s="36"/>
      <c r="BE82" s="36"/>
      <c r="BF82" s="36"/>
      <c r="BG82" s="36"/>
    </row>
    <row r="83" spans="1:59" ht="20.100000000000001" customHeight="1" thickBot="1" x14ac:dyDescent="0.3">
      <c r="A83" s="145" t="s">
        <v>43</v>
      </c>
      <c r="B83" s="147"/>
      <c r="C83" s="145" t="s">
        <v>44</v>
      </c>
      <c r="D83" s="146"/>
      <c r="E83" s="147"/>
      <c r="F83" s="145" t="s">
        <v>25</v>
      </c>
      <c r="G83" s="146"/>
      <c r="H83" s="146"/>
      <c r="I83" s="147"/>
      <c r="J83" s="145" t="s">
        <v>62</v>
      </c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7"/>
      <c r="AR83" s="145" t="s">
        <v>27</v>
      </c>
      <c r="AS83" s="146"/>
      <c r="AT83" s="146"/>
      <c r="AU83" s="146"/>
      <c r="AV83" s="147"/>
      <c r="AW83" s="148"/>
      <c r="AX83" s="149"/>
      <c r="AZ83" s="36"/>
      <c r="BA83" s="36"/>
      <c r="BB83" s="36"/>
      <c r="BC83" s="36"/>
      <c r="BD83" s="36"/>
      <c r="BE83" s="36"/>
      <c r="BF83" s="36"/>
      <c r="BG83" s="36"/>
    </row>
    <row r="84" spans="1:59" ht="20.100000000000001" customHeight="1" x14ac:dyDescent="0.25">
      <c r="A84" s="125">
        <v>25</v>
      </c>
      <c r="B84" s="127"/>
      <c r="C84" s="125">
        <v>1</v>
      </c>
      <c r="D84" s="126"/>
      <c r="E84" s="127"/>
      <c r="F84" s="134">
        <f>F76+Y48+AP48</f>
        <v>0.62013888888888868</v>
      </c>
      <c r="G84" s="126"/>
      <c r="H84" s="126"/>
      <c r="I84" s="127"/>
      <c r="J84" s="125" t="str">
        <f>IF(ISBLANK(AU52),"",IF(BA52=3,J52,AB52))</f>
        <v/>
      </c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 t="s">
        <v>29</v>
      </c>
      <c r="AA84" s="126"/>
      <c r="AB84" s="126" t="str">
        <f>IF(ISBLANK(AU60),"",IF(BA60=3,J60,AB60))</f>
        <v/>
      </c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7"/>
      <c r="AR84" s="125"/>
      <c r="AS84" s="126"/>
      <c r="AT84" s="126" t="s">
        <v>29</v>
      </c>
      <c r="AU84" s="126"/>
      <c r="AV84" s="127"/>
      <c r="AW84" s="30"/>
      <c r="AX84" s="31"/>
      <c r="AZ84" s="36"/>
      <c r="BA84" s="36">
        <f>IF(ISBLANK($AR84),0,IF($AR84&gt;$AU84,3,IF($AR84=$AU84,1,0)))</f>
        <v>0</v>
      </c>
      <c r="BB84" s="36"/>
      <c r="BC84" s="36">
        <f>IF(ISBLANK($AU84),0,IF($AR84&lt;$AU84,3,IF($AR84=$AU84,1,0)))</f>
        <v>0</v>
      </c>
      <c r="BD84" s="36"/>
      <c r="BE84" s="36"/>
      <c r="BF84" s="36"/>
      <c r="BG84" s="36"/>
    </row>
    <row r="85" spans="1:59" ht="15.75" thickBot="1" x14ac:dyDescent="0.3">
      <c r="A85" s="131"/>
      <c r="B85" s="132"/>
      <c r="C85" s="131"/>
      <c r="D85" s="133"/>
      <c r="E85" s="132"/>
      <c r="F85" s="131"/>
      <c r="G85" s="133"/>
      <c r="H85" s="133"/>
      <c r="I85" s="132"/>
      <c r="J85" s="128" t="s">
        <v>104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32"/>
      <c r="AA85" s="32"/>
      <c r="AB85" s="129" t="s">
        <v>106</v>
      </c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30"/>
      <c r="AR85" s="131"/>
      <c r="AS85" s="133"/>
      <c r="AT85" s="133"/>
      <c r="AU85" s="133"/>
      <c r="AV85" s="132"/>
      <c r="AW85" s="33"/>
      <c r="AX85" s="34"/>
      <c r="AZ85" s="36"/>
      <c r="BA85" s="36"/>
      <c r="BB85" s="36"/>
      <c r="BC85" s="36"/>
      <c r="BD85" s="36"/>
      <c r="BE85" s="36"/>
      <c r="BF85" s="36"/>
      <c r="BG85" s="36"/>
    </row>
    <row r="86" spans="1:59" ht="5.0999999999999996" customHeight="1" thickBo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Z86" s="36"/>
      <c r="BA86" s="36"/>
      <c r="BB86" s="36"/>
      <c r="BC86" s="36"/>
      <c r="BD86" s="36"/>
      <c r="BE86" s="36"/>
      <c r="BF86" s="36"/>
      <c r="BG86" s="36"/>
    </row>
    <row r="87" spans="1:59" ht="20.100000000000001" customHeight="1" thickBot="1" x14ac:dyDescent="0.3">
      <c r="A87" s="145" t="s">
        <v>43</v>
      </c>
      <c r="B87" s="147"/>
      <c r="C87" s="145" t="s">
        <v>44</v>
      </c>
      <c r="D87" s="146"/>
      <c r="E87" s="147"/>
      <c r="F87" s="145" t="s">
        <v>25</v>
      </c>
      <c r="G87" s="146"/>
      <c r="H87" s="146"/>
      <c r="I87" s="147"/>
      <c r="J87" s="145" t="s">
        <v>63</v>
      </c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7"/>
      <c r="AR87" s="145" t="s">
        <v>27</v>
      </c>
      <c r="AS87" s="146"/>
      <c r="AT87" s="146"/>
      <c r="AU87" s="146"/>
      <c r="AV87" s="147"/>
      <c r="AW87" s="148"/>
      <c r="AX87" s="149"/>
      <c r="AZ87" s="36"/>
      <c r="BA87" s="36"/>
      <c r="BB87" s="36"/>
      <c r="BC87" s="36"/>
      <c r="BD87" s="36"/>
      <c r="BE87" s="36"/>
      <c r="BF87" s="36"/>
      <c r="BG87" s="36"/>
    </row>
    <row r="88" spans="1:59" ht="20.100000000000001" customHeight="1" x14ac:dyDescent="0.25">
      <c r="A88" s="125">
        <v>26</v>
      </c>
      <c r="B88" s="127"/>
      <c r="C88" s="125">
        <v>2</v>
      </c>
      <c r="D88" s="126"/>
      <c r="E88" s="127"/>
      <c r="F88" s="134">
        <f>F84</f>
        <v>0.62013888888888868</v>
      </c>
      <c r="G88" s="126"/>
      <c r="H88" s="126"/>
      <c r="I88" s="127"/>
      <c r="J88" s="125" t="str">
        <f>IF(ISBLANK(AU56),"",IF(BA56=3,J56,AB56))</f>
        <v/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 t="s">
        <v>29</v>
      </c>
      <c r="AA88" s="126"/>
      <c r="AB88" s="126" t="str">
        <f>IF(ISBLANK(AU64),"",IF(BA64=3,J64,AB64))</f>
        <v/>
      </c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  <c r="AR88" s="125"/>
      <c r="AS88" s="126"/>
      <c r="AT88" s="126" t="s">
        <v>29</v>
      </c>
      <c r="AU88" s="126"/>
      <c r="AV88" s="127"/>
      <c r="AW88" s="30"/>
      <c r="AX88" s="31"/>
      <c r="AZ88" s="36"/>
      <c r="BA88" s="36">
        <f>IF(ISBLANK($AR88),0,IF($AR88&gt;$AU88,3,IF($AR88=$AU88,1,0)))</f>
        <v>0</v>
      </c>
      <c r="BB88" s="36"/>
      <c r="BC88" s="36">
        <f>IF(ISBLANK($AU88),0,IF($AR88&lt;$AU88,3,IF($AR88=$AU88,1,0)))</f>
        <v>0</v>
      </c>
      <c r="BD88" s="36"/>
      <c r="BE88" s="36"/>
      <c r="BF88" s="36"/>
      <c r="BG88" s="36"/>
    </row>
    <row r="89" spans="1:59" ht="15.75" thickBot="1" x14ac:dyDescent="0.3">
      <c r="A89" s="131"/>
      <c r="B89" s="132"/>
      <c r="C89" s="131"/>
      <c r="D89" s="133"/>
      <c r="E89" s="132"/>
      <c r="F89" s="131"/>
      <c r="G89" s="133"/>
      <c r="H89" s="133"/>
      <c r="I89" s="132"/>
      <c r="J89" s="128" t="s">
        <v>105</v>
      </c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32"/>
      <c r="AA89" s="32"/>
      <c r="AB89" s="129" t="s">
        <v>107</v>
      </c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30"/>
      <c r="AR89" s="131"/>
      <c r="AS89" s="133"/>
      <c r="AT89" s="133"/>
      <c r="AU89" s="133"/>
      <c r="AV89" s="132"/>
      <c r="AW89" s="33"/>
      <c r="AX89" s="34"/>
      <c r="AZ89" s="36"/>
      <c r="BA89" s="36"/>
      <c r="BB89" s="36"/>
      <c r="BC89" s="36"/>
      <c r="BD89" s="36"/>
      <c r="BE89" s="36"/>
      <c r="BF89" s="36"/>
      <c r="BG89" s="36"/>
    </row>
    <row r="90" spans="1:59" x14ac:dyDescent="0.25">
      <c r="AZ90" s="36"/>
      <c r="BA90" s="36"/>
      <c r="BB90" s="36"/>
      <c r="BC90" s="36"/>
      <c r="BD90" s="36"/>
      <c r="BE90" s="36"/>
      <c r="BF90" s="36"/>
      <c r="BG90" s="36"/>
    </row>
    <row r="91" spans="1:59" ht="5.0999999999999996" customHeight="1" x14ac:dyDescent="0.25">
      <c r="AZ91" s="36"/>
      <c r="BA91" s="36"/>
      <c r="BB91" s="36"/>
      <c r="BC91" s="36"/>
      <c r="BD91" s="36"/>
      <c r="BE91" s="36"/>
      <c r="BF91" s="36"/>
      <c r="BG91" s="36"/>
    </row>
    <row r="92" spans="1:59" x14ac:dyDescent="0.25">
      <c r="AZ92" s="36"/>
      <c r="BA92" s="36"/>
      <c r="BB92" s="36"/>
      <c r="BC92" s="36"/>
      <c r="BD92" s="36"/>
      <c r="BE92" s="36"/>
      <c r="BF92" s="36"/>
      <c r="BG92" s="36"/>
    </row>
    <row r="93" spans="1:59" ht="38.25" thickBot="1" x14ac:dyDescent="0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" t="s">
        <v>0</v>
      </c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Z93" s="36"/>
      <c r="BA93" s="36"/>
      <c r="BB93" s="36"/>
      <c r="BC93" s="36"/>
      <c r="BD93" s="36"/>
      <c r="BE93" s="36"/>
      <c r="BF93" s="36"/>
      <c r="BG93" s="36"/>
    </row>
    <row r="94" spans="1:59" ht="20.100000000000001" customHeight="1" thickBot="1" x14ac:dyDescent="0.3">
      <c r="A94" s="150" t="s">
        <v>43</v>
      </c>
      <c r="B94" s="151"/>
      <c r="C94" s="150" t="s">
        <v>44</v>
      </c>
      <c r="D94" s="152"/>
      <c r="E94" s="151"/>
      <c r="F94" s="150" t="s">
        <v>25</v>
      </c>
      <c r="G94" s="152"/>
      <c r="H94" s="152"/>
      <c r="I94" s="151"/>
      <c r="J94" s="150" t="s">
        <v>112</v>
      </c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1"/>
      <c r="AR94" s="150" t="s">
        <v>27</v>
      </c>
      <c r="AS94" s="152"/>
      <c r="AT94" s="152"/>
      <c r="AU94" s="152"/>
      <c r="AV94" s="151"/>
      <c r="AW94" s="153"/>
      <c r="AX94" s="154"/>
      <c r="AZ94" s="36"/>
      <c r="BA94" s="36"/>
      <c r="BB94" s="36"/>
      <c r="BC94" s="36"/>
      <c r="BD94" s="36"/>
      <c r="BE94" s="36"/>
      <c r="BF94" s="36"/>
      <c r="BG94" s="36"/>
    </row>
    <row r="95" spans="1:59" ht="20.100000000000001" customHeight="1" x14ac:dyDescent="0.25">
      <c r="A95" s="125">
        <v>27</v>
      </c>
      <c r="B95" s="127"/>
      <c r="C95" s="125">
        <v>1</v>
      </c>
      <c r="D95" s="126"/>
      <c r="E95" s="127"/>
      <c r="F95" s="134">
        <f>F84+Y48+AP48</f>
        <v>0.6319444444444442</v>
      </c>
      <c r="G95" s="126"/>
      <c r="H95" s="126"/>
      <c r="I95" s="127"/>
      <c r="J95" s="125" t="str">
        <f>IF(ISBLANK(AU68),"",IF(BA68=3,AB68,J68))</f>
        <v/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 t="s">
        <v>29</v>
      </c>
      <c r="AA95" s="126"/>
      <c r="AB95" s="126" t="str">
        <f>IF(ISBLANK(AU72),"",IF(BA72=3,AB72,J72))</f>
        <v/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7"/>
      <c r="AR95" s="125"/>
      <c r="AS95" s="126"/>
      <c r="AT95" s="126" t="s">
        <v>29</v>
      </c>
      <c r="AU95" s="126"/>
      <c r="AV95" s="127"/>
      <c r="AW95" s="30"/>
      <c r="AX95" s="31"/>
      <c r="AZ95" s="36"/>
      <c r="BA95" s="36">
        <f>IF(ISBLANK($AR95),0,IF($AR95&gt;$AU95,3,IF($AR95=$AU95,1,0)))</f>
        <v>0</v>
      </c>
      <c r="BB95" s="36"/>
      <c r="BC95" s="36">
        <f>IF(ISBLANK($AU95),0,IF($AR95&lt;$AU95,3,IF($AR95=$AU95,1,0)))</f>
        <v>0</v>
      </c>
      <c r="BD95" s="36"/>
      <c r="BE95" s="36"/>
      <c r="BF95" s="36"/>
      <c r="BG95" s="36"/>
    </row>
    <row r="96" spans="1:59" ht="15.75" thickBot="1" x14ac:dyDescent="0.3">
      <c r="A96" s="131"/>
      <c r="B96" s="132"/>
      <c r="C96" s="131"/>
      <c r="D96" s="133"/>
      <c r="E96" s="132"/>
      <c r="F96" s="131"/>
      <c r="G96" s="133"/>
      <c r="H96" s="133"/>
      <c r="I96" s="132"/>
      <c r="J96" s="128" t="s">
        <v>117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32"/>
      <c r="AA96" s="32"/>
      <c r="AB96" s="128" t="s">
        <v>118</v>
      </c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1"/>
      <c r="AS96" s="133"/>
      <c r="AT96" s="133"/>
      <c r="AU96" s="133"/>
      <c r="AV96" s="132"/>
      <c r="AW96" s="33"/>
      <c r="AX96" s="34"/>
      <c r="AZ96" s="36"/>
      <c r="BA96" s="36"/>
      <c r="BB96" s="36"/>
      <c r="BC96" s="36"/>
      <c r="BD96" s="36"/>
      <c r="BE96" s="36"/>
      <c r="BF96" s="36"/>
      <c r="BG96" s="36"/>
    </row>
    <row r="97" spans="1:59" ht="5.0999999999999996" customHeight="1" thickBo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Z97" s="36"/>
      <c r="BA97" s="36"/>
      <c r="BB97" s="36"/>
      <c r="BC97" s="36"/>
      <c r="BD97" s="36"/>
      <c r="BE97" s="36"/>
      <c r="BF97" s="36"/>
      <c r="BG97" s="36"/>
    </row>
    <row r="98" spans="1:59" ht="20.100000000000001" customHeight="1" thickBot="1" x14ac:dyDescent="0.3">
      <c r="A98" s="150" t="s">
        <v>43</v>
      </c>
      <c r="B98" s="151"/>
      <c r="C98" s="150" t="s">
        <v>44</v>
      </c>
      <c r="D98" s="152"/>
      <c r="E98" s="151"/>
      <c r="F98" s="150" t="s">
        <v>25</v>
      </c>
      <c r="G98" s="152"/>
      <c r="H98" s="152"/>
      <c r="I98" s="151"/>
      <c r="J98" s="150" t="s">
        <v>113</v>
      </c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1"/>
      <c r="AR98" s="150" t="s">
        <v>27</v>
      </c>
      <c r="AS98" s="152"/>
      <c r="AT98" s="152"/>
      <c r="AU98" s="152"/>
      <c r="AV98" s="151"/>
      <c r="AW98" s="153"/>
      <c r="AX98" s="154"/>
      <c r="AZ98" s="36"/>
      <c r="BA98" s="36"/>
      <c r="BB98" s="36"/>
      <c r="BC98" s="36"/>
      <c r="BD98" s="36"/>
      <c r="BE98" s="36"/>
      <c r="BF98" s="36"/>
      <c r="BG98" s="36"/>
    </row>
    <row r="99" spans="1:59" ht="20.100000000000001" customHeight="1" x14ac:dyDescent="0.25">
      <c r="A99" s="125">
        <v>28</v>
      </c>
      <c r="B99" s="127"/>
      <c r="C99" s="125">
        <v>2</v>
      </c>
      <c r="D99" s="126"/>
      <c r="E99" s="127"/>
      <c r="F99" s="134">
        <f>F95</f>
        <v>0.6319444444444442</v>
      </c>
      <c r="G99" s="126"/>
      <c r="H99" s="126"/>
      <c r="I99" s="127"/>
      <c r="J99" s="125" t="str">
        <f>IF(ISBLANK(AU68),"",IF(BA68=3,J68,AB68))</f>
        <v/>
      </c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 t="s">
        <v>29</v>
      </c>
      <c r="AA99" s="126"/>
      <c r="AB99" s="126" t="str">
        <f>IF(ISBLANK(AU72),"",IF(BA72=3,J72,AB72))</f>
        <v/>
      </c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7"/>
      <c r="AR99" s="125"/>
      <c r="AS99" s="126"/>
      <c r="AT99" s="126" t="s">
        <v>29</v>
      </c>
      <c r="AU99" s="126"/>
      <c r="AV99" s="127"/>
      <c r="AW99" s="30"/>
      <c r="AX99" s="31"/>
      <c r="AZ99" s="36"/>
      <c r="BA99" s="36">
        <f>IF(ISBLANK($AR99),0,IF($AR99&gt;$AU99,3,IF($AR99=$AU99,1,0)))</f>
        <v>0</v>
      </c>
      <c r="BB99" s="36"/>
      <c r="BC99" s="36">
        <f>IF(ISBLANK($AU99),0,IF($AR99&lt;$AU99,3,IF($AR99=$AU99,1,0)))</f>
        <v>0</v>
      </c>
      <c r="BD99" s="36"/>
      <c r="BE99" s="36"/>
      <c r="BF99" s="36"/>
      <c r="BG99" s="36"/>
    </row>
    <row r="100" spans="1:59" ht="15.75" thickBot="1" x14ac:dyDescent="0.3">
      <c r="A100" s="131"/>
      <c r="B100" s="132"/>
      <c r="C100" s="131"/>
      <c r="D100" s="133"/>
      <c r="E100" s="132"/>
      <c r="F100" s="131"/>
      <c r="G100" s="133"/>
      <c r="H100" s="133"/>
      <c r="I100" s="132"/>
      <c r="J100" s="128" t="s">
        <v>119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32"/>
      <c r="AA100" s="32"/>
      <c r="AB100" s="128" t="s">
        <v>120</v>
      </c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1"/>
      <c r="AS100" s="133"/>
      <c r="AT100" s="133"/>
      <c r="AU100" s="133"/>
      <c r="AV100" s="132"/>
      <c r="AW100" s="33"/>
      <c r="AX100" s="34"/>
      <c r="AZ100" s="36"/>
      <c r="BA100" s="36"/>
      <c r="BB100" s="36"/>
      <c r="BC100" s="36"/>
      <c r="BD100" s="36"/>
      <c r="BE100" s="36"/>
      <c r="BF100" s="36"/>
      <c r="BG100" s="36"/>
    </row>
    <row r="101" spans="1:59" ht="5.0999999999999996" customHeight="1" thickBo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Z101" s="36"/>
      <c r="BA101" s="36"/>
      <c r="BB101" s="36"/>
      <c r="BC101" s="36"/>
      <c r="BD101" s="36"/>
      <c r="BE101" s="36"/>
      <c r="BF101" s="36"/>
      <c r="BG101" s="36"/>
    </row>
    <row r="102" spans="1:59" ht="20.100000000000001" customHeight="1" thickBot="1" x14ac:dyDescent="0.3">
      <c r="A102" s="150" t="s">
        <v>43</v>
      </c>
      <c r="B102" s="151"/>
      <c r="C102" s="150" t="s">
        <v>44</v>
      </c>
      <c r="D102" s="152"/>
      <c r="E102" s="151"/>
      <c r="F102" s="150" t="s">
        <v>25</v>
      </c>
      <c r="G102" s="152"/>
      <c r="H102" s="152"/>
      <c r="I102" s="151"/>
      <c r="J102" s="150" t="s">
        <v>114</v>
      </c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1"/>
      <c r="AR102" s="150" t="s">
        <v>27</v>
      </c>
      <c r="AS102" s="152"/>
      <c r="AT102" s="152"/>
      <c r="AU102" s="152"/>
      <c r="AV102" s="151"/>
      <c r="AW102" s="153"/>
      <c r="AX102" s="154"/>
      <c r="AZ102" s="36"/>
      <c r="BA102" s="36"/>
      <c r="BB102" s="36"/>
      <c r="BC102" s="36"/>
      <c r="BD102" s="36"/>
      <c r="BE102" s="36"/>
      <c r="BF102" s="36"/>
      <c r="BG102" s="36"/>
    </row>
    <row r="103" spans="1:59" ht="20.100000000000001" customHeight="1" x14ac:dyDescent="0.25">
      <c r="A103" s="125">
        <v>29</v>
      </c>
      <c r="B103" s="127"/>
      <c r="C103" s="125">
        <v>1</v>
      </c>
      <c r="D103" s="126"/>
      <c r="E103" s="127"/>
      <c r="F103" s="134">
        <f>F95+Y48+AP48</f>
        <v>0.64374999999999971</v>
      </c>
      <c r="G103" s="126"/>
      <c r="H103" s="126"/>
      <c r="I103" s="127"/>
      <c r="J103" s="125" t="str">
        <f>IF(ISBLANK(AU76),"",IF(BA76=3,AB76,J76))</f>
        <v/>
      </c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 t="s">
        <v>29</v>
      </c>
      <c r="AA103" s="126"/>
      <c r="AB103" s="126" t="str">
        <f>IF(ISBLANK(AU80),"",IF(BA80=3,AB80,J80))</f>
        <v/>
      </c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7"/>
      <c r="AR103" s="125"/>
      <c r="AS103" s="126"/>
      <c r="AT103" s="126" t="s">
        <v>29</v>
      </c>
      <c r="AU103" s="126"/>
      <c r="AV103" s="127"/>
      <c r="AW103" s="30"/>
      <c r="AX103" s="31"/>
      <c r="AZ103" s="36"/>
      <c r="BA103" s="36">
        <f>IF(ISBLANK($AR103),0,IF($AR103&gt;$AU103,3,IF($AR103=$AU103,1,0)))</f>
        <v>0</v>
      </c>
      <c r="BB103" s="36"/>
      <c r="BC103" s="36">
        <f>IF(ISBLANK($AU103),0,IF($AR103&lt;$AU103,3,IF($AR103=$AU103,1,0)))</f>
        <v>0</v>
      </c>
      <c r="BD103" s="36"/>
      <c r="BE103" s="36"/>
      <c r="BF103" s="36"/>
      <c r="BG103" s="36"/>
    </row>
    <row r="104" spans="1:59" ht="15.75" thickBot="1" x14ac:dyDescent="0.3">
      <c r="A104" s="131"/>
      <c r="B104" s="132"/>
      <c r="C104" s="131"/>
      <c r="D104" s="133"/>
      <c r="E104" s="132"/>
      <c r="F104" s="131"/>
      <c r="G104" s="133"/>
      <c r="H104" s="133"/>
      <c r="I104" s="132"/>
      <c r="J104" s="128" t="s">
        <v>108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32"/>
      <c r="AA104" s="32"/>
      <c r="AB104" s="128" t="s">
        <v>109</v>
      </c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31"/>
      <c r="AS104" s="133"/>
      <c r="AT104" s="133"/>
      <c r="AU104" s="133"/>
      <c r="AV104" s="132"/>
      <c r="AW104" s="33"/>
      <c r="AX104" s="34"/>
    </row>
    <row r="105" spans="1:59" ht="5.0999999999999996" customHeight="1" thickBot="1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9" ht="20.100000000000001" customHeight="1" thickBot="1" x14ac:dyDescent="0.3">
      <c r="A106" s="150" t="s">
        <v>43</v>
      </c>
      <c r="B106" s="151"/>
      <c r="C106" s="150" t="s">
        <v>44</v>
      </c>
      <c r="D106" s="152"/>
      <c r="E106" s="151"/>
      <c r="F106" s="150" t="s">
        <v>25</v>
      </c>
      <c r="G106" s="152"/>
      <c r="H106" s="152"/>
      <c r="I106" s="151"/>
      <c r="J106" s="150" t="s">
        <v>115</v>
      </c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1"/>
      <c r="AR106" s="150" t="s">
        <v>27</v>
      </c>
      <c r="AS106" s="152"/>
      <c r="AT106" s="152"/>
      <c r="AU106" s="152"/>
      <c r="AV106" s="151"/>
      <c r="AW106" s="153"/>
      <c r="AX106" s="154"/>
    </row>
    <row r="107" spans="1:59" ht="20.100000000000001" customHeight="1" x14ac:dyDescent="0.25">
      <c r="A107" s="125">
        <v>30</v>
      </c>
      <c r="B107" s="127"/>
      <c r="C107" s="125">
        <v>2</v>
      </c>
      <c r="D107" s="126"/>
      <c r="E107" s="127"/>
      <c r="F107" s="134">
        <f>F103</f>
        <v>0.64374999999999971</v>
      </c>
      <c r="G107" s="126"/>
      <c r="H107" s="126"/>
      <c r="I107" s="127"/>
      <c r="J107" s="125" t="str">
        <f>IF(ISBLANK(AU76),"",IF(BA76=3,J76,AB76))</f>
        <v/>
      </c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 t="s">
        <v>29</v>
      </c>
      <c r="AA107" s="126"/>
      <c r="AB107" s="126" t="str">
        <f>IF(ISBLANK(AU80),"",IF(BA80=3,J80,AB80))</f>
        <v/>
      </c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7"/>
      <c r="AR107" s="125"/>
      <c r="AS107" s="126"/>
      <c r="AT107" s="126" t="s">
        <v>29</v>
      </c>
      <c r="AU107" s="126"/>
      <c r="AV107" s="127"/>
      <c r="AW107" s="30"/>
      <c r="AX107" s="31"/>
      <c r="BA107" s="36">
        <f>IF(ISBLANK($AR107),0,IF($AR107&gt;$AU107,3,IF($AR107=$AU107,1,0)))</f>
        <v>0</v>
      </c>
      <c r="BB107" s="36"/>
      <c r="BC107" s="36">
        <f>IF(ISBLANK($AU107),0,IF($AR107&lt;$AU107,3,IF($AR107=$AU107,1,0)))</f>
        <v>0</v>
      </c>
      <c r="BD107" s="36"/>
      <c r="BE107" s="36"/>
      <c r="BF107" s="36"/>
      <c r="BG107" s="36"/>
    </row>
    <row r="108" spans="1:59" ht="15.75" thickBot="1" x14ac:dyDescent="0.3">
      <c r="A108" s="131"/>
      <c r="B108" s="132"/>
      <c r="C108" s="131"/>
      <c r="D108" s="133"/>
      <c r="E108" s="132"/>
      <c r="F108" s="131"/>
      <c r="G108" s="133"/>
      <c r="H108" s="133"/>
      <c r="I108" s="132"/>
      <c r="J108" s="128" t="s">
        <v>110</v>
      </c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32"/>
      <c r="AA108" s="32"/>
      <c r="AB108" s="128" t="s">
        <v>111</v>
      </c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31"/>
      <c r="AS108" s="133"/>
      <c r="AT108" s="133"/>
      <c r="AU108" s="133"/>
      <c r="AV108" s="132"/>
      <c r="AW108" s="33"/>
      <c r="AX108" s="34"/>
      <c r="BA108" s="36"/>
      <c r="BB108" s="36"/>
      <c r="BC108" s="36"/>
      <c r="BD108" s="36"/>
      <c r="BE108" s="36"/>
      <c r="BF108" s="36"/>
      <c r="BG108" s="36"/>
    </row>
    <row r="109" spans="1:59" ht="5.0999999999999996" customHeight="1" thickBot="1" x14ac:dyDescent="0.3">
      <c r="BA109" s="36"/>
      <c r="BB109" s="36"/>
      <c r="BC109" s="36"/>
      <c r="BD109" s="36"/>
      <c r="BE109" s="36"/>
      <c r="BF109" s="36"/>
      <c r="BG109" s="36"/>
    </row>
    <row r="110" spans="1:59" ht="20.100000000000001" customHeight="1" thickBot="1" x14ac:dyDescent="0.3">
      <c r="A110" s="150" t="s">
        <v>43</v>
      </c>
      <c r="B110" s="151"/>
      <c r="C110" s="150" t="s">
        <v>44</v>
      </c>
      <c r="D110" s="152"/>
      <c r="E110" s="151"/>
      <c r="F110" s="150" t="s">
        <v>25</v>
      </c>
      <c r="G110" s="152"/>
      <c r="H110" s="152"/>
      <c r="I110" s="151"/>
      <c r="J110" s="150" t="s">
        <v>137</v>
      </c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1"/>
      <c r="AR110" s="150" t="s">
        <v>27</v>
      </c>
      <c r="AS110" s="152"/>
      <c r="AT110" s="152"/>
      <c r="AU110" s="152"/>
      <c r="AV110" s="151"/>
      <c r="AW110" s="153"/>
      <c r="AX110" s="154"/>
      <c r="BA110" s="36"/>
      <c r="BB110" s="36"/>
      <c r="BC110" s="36"/>
      <c r="BD110" s="36"/>
      <c r="BE110" s="36"/>
      <c r="BF110" s="36"/>
      <c r="BG110" s="36"/>
    </row>
    <row r="111" spans="1:59" ht="20.100000000000001" customHeight="1" x14ac:dyDescent="0.25">
      <c r="A111" s="125">
        <v>31</v>
      </c>
      <c r="B111" s="127"/>
      <c r="C111" s="125">
        <v>1</v>
      </c>
      <c r="D111" s="126"/>
      <c r="E111" s="127"/>
      <c r="F111" s="134">
        <f>F103+Y48+AP48</f>
        <v>0.65555555555555522</v>
      </c>
      <c r="G111" s="126"/>
      <c r="H111" s="126"/>
      <c r="I111" s="127"/>
      <c r="J111" s="125" t="str">
        <f>IF(ISBLANK(AU84),"",IF(BA84=3,AB84,J84))</f>
        <v/>
      </c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 t="s">
        <v>29</v>
      </c>
      <c r="AA111" s="126"/>
      <c r="AB111" s="126" t="str">
        <f>IF(ISBLANK(AU88),"",IF(BA88=3,AB88,J88))</f>
        <v/>
      </c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7"/>
      <c r="AR111" s="125"/>
      <c r="AS111" s="126"/>
      <c r="AT111" s="126" t="s">
        <v>29</v>
      </c>
      <c r="AU111" s="126"/>
      <c r="AV111" s="127"/>
      <c r="AW111" s="30"/>
      <c r="AX111" s="31"/>
      <c r="BA111" s="36">
        <f>IF(ISBLANK($AR111),0,IF($AR111&gt;$AU111,3,IF($AR111=$AU111,1,0)))</f>
        <v>0</v>
      </c>
      <c r="BB111" s="36"/>
      <c r="BC111" s="36">
        <f>IF(ISBLANK($AU111),0,IF($AR111&lt;$AU111,3,IF($AR111=$AU111,1,0)))</f>
        <v>0</v>
      </c>
      <c r="BD111" s="36"/>
      <c r="BE111" s="36"/>
      <c r="BF111" s="36"/>
      <c r="BG111" s="36"/>
    </row>
    <row r="112" spans="1:59" ht="15.75" thickBot="1" x14ac:dyDescent="0.3">
      <c r="A112" s="131"/>
      <c r="B112" s="132"/>
      <c r="C112" s="131"/>
      <c r="D112" s="133"/>
      <c r="E112" s="132"/>
      <c r="F112" s="131"/>
      <c r="G112" s="133"/>
      <c r="H112" s="133"/>
      <c r="I112" s="132"/>
      <c r="J112" s="128" t="s">
        <v>121</v>
      </c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32"/>
      <c r="AA112" s="32"/>
      <c r="AB112" s="128" t="s">
        <v>122</v>
      </c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31"/>
      <c r="AS112" s="133"/>
      <c r="AT112" s="133"/>
      <c r="AU112" s="133"/>
      <c r="AV112" s="132"/>
      <c r="AW112" s="33"/>
      <c r="AX112" s="34"/>
      <c r="BA112" s="36"/>
      <c r="BB112" s="36"/>
      <c r="BC112" s="36"/>
      <c r="BD112" s="36"/>
      <c r="BE112" s="36"/>
      <c r="BF112" s="36"/>
      <c r="BG112" s="36"/>
    </row>
    <row r="113" spans="1:59" ht="5.0999999999999996" customHeight="1" thickBot="1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BA113" s="36"/>
      <c r="BB113" s="36"/>
      <c r="BC113" s="36"/>
      <c r="BD113" s="36"/>
      <c r="BE113" s="36"/>
      <c r="BF113" s="36"/>
      <c r="BG113" s="36"/>
    </row>
    <row r="114" spans="1:59" ht="20.100000000000001" customHeight="1" thickBot="1" x14ac:dyDescent="0.3">
      <c r="A114" s="150" t="s">
        <v>43</v>
      </c>
      <c r="B114" s="151"/>
      <c r="C114" s="150" t="s">
        <v>44</v>
      </c>
      <c r="D114" s="152"/>
      <c r="E114" s="151"/>
      <c r="F114" s="150" t="s">
        <v>25</v>
      </c>
      <c r="G114" s="152"/>
      <c r="H114" s="152"/>
      <c r="I114" s="151"/>
      <c r="J114" s="150" t="s">
        <v>116</v>
      </c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1"/>
      <c r="AR114" s="150" t="s">
        <v>27</v>
      </c>
      <c r="AS114" s="152"/>
      <c r="AT114" s="152"/>
      <c r="AU114" s="152"/>
      <c r="AV114" s="151"/>
      <c r="AW114" s="153"/>
      <c r="AX114" s="154"/>
      <c r="BA114" s="36"/>
      <c r="BB114" s="36"/>
      <c r="BC114" s="36"/>
      <c r="BD114" s="36"/>
      <c r="BE114" s="36"/>
      <c r="BF114" s="36"/>
      <c r="BG114" s="36"/>
    </row>
    <row r="115" spans="1:59" ht="20.100000000000001" customHeight="1" x14ac:dyDescent="0.25">
      <c r="A115" s="125">
        <v>32</v>
      </c>
      <c r="B115" s="127"/>
      <c r="C115" s="125">
        <v>2</v>
      </c>
      <c r="D115" s="126"/>
      <c r="E115" s="127"/>
      <c r="F115" s="134">
        <f>F111</f>
        <v>0.65555555555555522</v>
      </c>
      <c r="G115" s="126"/>
      <c r="H115" s="126"/>
      <c r="I115" s="127"/>
      <c r="J115" s="125" t="str">
        <f>IF(ISBLANK(AU84),"",IF(BA84=3,J84,AB84))</f>
        <v/>
      </c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 t="s">
        <v>29</v>
      </c>
      <c r="AA115" s="126"/>
      <c r="AB115" s="126" t="str">
        <f>IF(ISBLANK(AU88),"",IF(BA88=3,J88,AB88))</f>
        <v/>
      </c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7"/>
      <c r="AR115" s="125"/>
      <c r="AS115" s="126"/>
      <c r="AT115" s="126" t="s">
        <v>29</v>
      </c>
      <c r="AU115" s="126"/>
      <c r="AV115" s="127"/>
      <c r="AW115" s="30"/>
      <c r="AX115" s="31"/>
      <c r="BA115" s="36">
        <f>IF(ISBLANK($AR115),0,IF($AR115&gt;$AU115,3,IF($AR115=$AU115,1,0)))</f>
        <v>0</v>
      </c>
      <c r="BB115" s="36"/>
      <c r="BC115" s="36">
        <f>IF(ISBLANK($AU115),0,IF($AR115&lt;$AU115,3,IF($AR115=$AU115,1,0)))</f>
        <v>0</v>
      </c>
      <c r="BD115" s="36"/>
      <c r="BE115" s="36"/>
      <c r="BF115" s="36"/>
      <c r="BG115" s="36"/>
    </row>
    <row r="116" spans="1:59" ht="15.75" thickBot="1" x14ac:dyDescent="0.3">
      <c r="A116" s="131"/>
      <c r="B116" s="132"/>
      <c r="C116" s="131"/>
      <c r="D116" s="133"/>
      <c r="E116" s="132"/>
      <c r="F116" s="131"/>
      <c r="G116" s="133"/>
      <c r="H116" s="133"/>
      <c r="I116" s="132"/>
      <c r="J116" s="128" t="s">
        <v>123</v>
      </c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32"/>
      <c r="AA116" s="32"/>
      <c r="AB116" s="128" t="s">
        <v>124</v>
      </c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31"/>
      <c r="AS116" s="133"/>
      <c r="AT116" s="133"/>
      <c r="AU116" s="133"/>
      <c r="AV116" s="132"/>
      <c r="AW116" s="33"/>
      <c r="AX116" s="34"/>
      <c r="BA116" s="36"/>
      <c r="BB116" s="36"/>
      <c r="BC116" s="36"/>
      <c r="BD116" s="36"/>
      <c r="BE116" s="36"/>
      <c r="BF116" s="36"/>
      <c r="BG116" s="36"/>
    </row>
    <row r="117" spans="1:59" ht="20.100000000000001" customHeight="1" x14ac:dyDescent="0.25">
      <c r="BA117" s="36"/>
      <c r="BB117" s="36"/>
      <c r="BC117" s="36"/>
      <c r="BD117" s="36"/>
      <c r="BE117" s="36"/>
      <c r="BF117" s="36"/>
      <c r="BG117" s="36"/>
    </row>
    <row r="118" spans="1:59" ht="15.75" thickBot="1" x14ac:dyDescent="0.3">
      <c r="A118" s="19" t="s">
        <v>87</v>
      </c>
    </row>
    <row r="119" spans="1:59" ht="20.100000000000001" customHeight="1" x14ac:dyDescent="0.25">
      <c r="E119" s="155" t="s">
        <v>4</v>
      </c>
      <c r="F119" s="156"/>
      <c r="G119" s="156"/>
      <c r="H119" s="156" t="str">
        <f>IF(ISBLANK(AU115),"",IF(BA115=3,J115,AB115))</f>
        <v/>
      </c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7"/>
    </row>
    <row r="120" spans="1:59" ht="20.100000000000001" customHeight="1" x14ac:dyDescent="0.25">
      <c r="E120" s="158" t="s">
        <v>5</v>
      </c>
      <c r="F120" s="159"/>
      <c r="G120" s="159"/>
      <c r="H120" s="159" t="str">
        <f>IF(ISBLANK(AU115),"",IF(BA115=3,AB115,J115))</f>
        <v/>
      </c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60"/>
    </row>
    <row r="121" spans="1:59" ht="20.100000000000001" customHeight="1" x14ac:dyDescent="0.25">
      <c r="E121" s="158" t="s">
        <v>6</v>
      </c>
      <c r="F121" s="159"/>
      <c r="G121" s="159"/>
      <c r="H121" s="159" t="str">
        <f>IF(ISBLANK(AU111),"",IF(BA111=3,J111,AB111))</f>
        <v/>
      </c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60"/>
    </row>
    <row r="122" spans="1:59" ht="20.100000000000001" customHeight="1" x14ac:dyDescent="0.25">
      <c r="E122" s="158" t="s">
        <v>7</v>
      </c>
      <c r="F122" s="159"/>
      <c r="G122" s="159"/>
      <c r="H122" s="159" t="str">
        <f>IF(ISBLANK(AU111),"",IF(BA111=3,AB111,J111))</f>
        <v/>
      </c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60"/>
    </row>
    <row r="123" spans="1:59" ht="20.100000000000001" customHeight="1" x14ac:dyDescent="0.25">
      <c r="E123" s="158" t="s">
        <v>8</v>
      </c>
      <c r="F123" s="159"/>
      <c r="G123" s="159"/>
      <c r="H123" s="159" t="str">
        <f>IF(ISBLANK(AU107),"",IF(BA107=3,J107,AB107))</f>
        <v/>
      </c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60"/>
    </row>
    <row r="124" spans="1:59" ht="20.100000000000001" customHeight="1" x14ac:dyDescent="0.25">
      <c r="E124" s="158" t="s">
        <v>9</v>
      </c>
      <c r="F124" s="159"/>
      <c r="G124" s="159"/>
      <c r="H124" s="159" t="str">
        <f>IF(ISBLANK(AU107),"",IF(BA107=3,AB107,J107))</f>
        <v/>
      </c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60"/>
    </row>
    <row r="125" spans="1:59" ht="20.100000000000001" customHeight="1" x14ac:dyDescent="0.25">
      <c r="E125" s="158" t="s">
        <v>125</v>
      </c>
      <c r="F125" s="159"/>
      <c r="G125" s="159"/>
      <c r="H125" s="159" t="str">
        <f>IF(ISBLANK(AU103),"",IF(BA103=3,J103,AB103))</f>
        <v/>
      </c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60"/>
    </row>
    <row r="126" spans="1:59" ht="20.100000000000001" customHeight="1" x14ac:dyDescent="0.25">
      <c r="E126" s="158" t="s">
        <v>126</v>
      </c>
      <c r="F126" s="159"/>
      <c r="G126" s="159"/>
      <c r="H126" s="159" t="str">
        <f>IF(ISBLANK(AU103),"",IF(BA103=3,AB103,J103))</f>
        <v/>
      </c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60"/>
    </row>
    <row r="127" spans="1:59" ht="20.100000000000001" customHeight="1" x14ac:dyDescent="0.25">
      <c r="E127" s="158" t="s">
        <v>127</v>
      </c>
      <c r="F127" s="159"/>
      <c r="G127" s="159"/>
      <c r="H127" s="159" t="str">
        <f>IF(ISBLANK(AU99),"",IF(BA99=3,J99,AB99))</f>
        <v/>
      </c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60"/>
    </row>
    <row r="128" spans="1:59" ht="20.100000000000001" customHeight="1" x14ac:dyDescent="0.25">
      <c r="E128" s="158" t="s">
        <v>128</v>
      </c>
      <c r="F128" s="159"/>
      <c r="G128" s="159"/>
      <c r="H128" s="159" t="str">
        <f>IF(ISBLANK(AU99),"",IF(BA99=3,AB99,J99))</f>
        <v/>
      </c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60"/>
    </row>
    <row r="129" spans="5:45" ht="20.100000000000001" customHeight="1" x14ac:dyDescent="0.25">
      <c r="E129" s="158" t="s">
        <v>129</v>
      </c>
      <c r="F129" s="159"/>
      <c r="G129" s="159"/>
      <c r="H129" s="159" t="str">
        <f>IF(ISBLANK(AU95),"",IF(BA95=3,J95,AB95))</f>
        <v/>
      </c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60"/>
    </row>
    <row r="130" spans="5:45" ht="20.100000000000001" customHeight="1" thickBot="1" x14ac:dyDescent="0.3">
      <c r="E130" s="161" t="s">
        <v>130</v>
      </c>
      <c r="F130" s="162"/>
      <c r="G130" s="162"/>
      <c r="H130" s="162" t="str">
        <f>IF(ISBLANK(AU95),"",IF(BA95=3,AB95,J95))</f>
        <v/>
      </c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3"/>
    </row>
  </sheetData>
  <mergeCells count="521">
    <mergeCell ref="E128:G128"/>
    <mergeCell ref="H128:AS128"/>
    <mergeCell ref="E129:G129"/>
    <mergeCell ref="H129:AS129"/>
    <mergeCell ref="E130:G130"/>
    <mergeCell ref="H130:AS130"/>
    <mergeCell ref="E125:G125"/>
    <mergeCell ref="H125:AS125"/>
    <mergeCell ref="E126:G126"/>
    <mergeCell ref="H126:AS126"/>
    <mergeCell ref="E127:G127"/>
    <mergeCell ref="H127:AS127"/>
    <mergeCell ref="E122:G122"/>
    <mergeCell ref="H122:AS122"/>
    <mergeCell ref="E123:G123"/>
    <mergeCell ref="H123:AS123"/>
    <mergeCell ref="E124:G124"/>
    <mergeCell ref="H124:AS124"/>
    <mergeCell ref="E119:G119"/>
    <mergeCell ref="H119:AS119"/>
    <mergeCell ref="E120:G120"/>
    <mergeCell ref="H120:AS120"/>
    <mergeCell ref="E121:G121"/>
    <mergeCell ref="H121:AS121"/>
    <mergeCell ref="AW114:AX114"/>
    <mergeCell ref="A115:B116"/>
    <mergeCell ref="C115:E116"/>
    <mergeCell ref="F115:I116"/>
    <mergeCell ref="J115:Y115"/>
    <mergeCell ref="Z115:AA115"/>
    <mergeCell ref="AB115:AQ115"/>
    <mergeCell ref="AR115:AS116"/>
    <mergeCell ref="AT115:AT116"/>
    <mergeCell ref="AU115:AV116"/>
    <mergeCell ref="J116:Y116"/>
    <mergeCell ref="AB116:AQ116"/>
    <mergeCell ref="A114:B114"/>
    <mergeCell ref="C114:E114"/>
    <mergeCell ref="F114:I114"/>
    <mergeCell ref="J114:AQ114"/>
    <mergeCell ref="AR114:AV114"/>
    <mergeCell ref="AW110:AX110"/>
    <mergeCell ref="A111:B112"/>
    <mergeCell ref="C111:E112"/>
    <mergeCell ref="F111:I112"/>
    <mergeCell ref="J111:Y111"/>
    <mergeCell ref="Z111:AA111"/>
    <mergeCell ref="AB111:AQ111"/>
    <mergeCell ref="AR111:AS112"/>
    <mergeCell ref="AT111:AT112"/>
    <mergeCell ref="AU111:AV112"/>
    <mergeCell ref="J112:Y112"/>
    <mergeCell ref="AB112:AQ112"/>
    <mergeCell ref="A110:B110"/>
    <mergeCell ref="C110:E110"/>
    <mergeCell ref="F110:I110"/>
    <mergeCell ref="J110:AQ110"/>
    <mergeCell ref="AR110:AV110"/>
    <mergeCell ref="AW106:AX106"/>
    <mergeCell ref="A107:B108"/>
    <mergeCell ref="C107:E108"/>
    <mergeCell ref="F107:I108"/>
    <mergeCell ref="J107:Y107"/>
    <mergeCell ref="Z107:AA107"/>
    <mergeCell ref="AB107:AQ107"/>
    <mergeCell ref="AR107:AS108"/>
    <mergeCell ref="AT107:AT108"/>
    <mergeCell ref="AU107:AV108"/>
    <mergeCell ref="J108:Y108"/>
    <mergeCell ref="AB108:AQ108"/>
    <mergeCell ref="A106:B106"/>
    <mergeCell ref="C106:E106"/>
    <mergeCell ref="F106:I106"/>
    <mergeCell ref="J106:AQ106"/>
    <mergeCell ref="AR106:AV106"/>
    <mergeCell ref="AW102:AX102"/>
    <mergeCell ref="A103:B104"/>
    <mergeCell ref="C103:E104"/>
    <mergeCell ref="F103:I104"/>
    <mergeCell ref="J103:Y103"/>
    <mergeCell ref="Z103:AA103"/>
    <mergeCell ref="AB103:AQ103"/>
    <mergeCell ref="AR103:AS104"/>
    <mergeCell ref="AT103:AT104"/>
    <mergeCell ref="AU103:AV104"/>
    <mergeCell ref="J104:Y104"/>
    <mergeCell ref="AB104:AQ104"/>
    <mergeCell ref="A102:B102"/>
    <mergeCell ref="C102:E102"/>
    <mergeCell ref="F102:I102"/>
    <mergeCell ref="J102:AQ102"/>
    <mergeCell ref="AR102:AV102"/>
    <mergeCell ref="AW98:AX98"/>
    <mergeCell ref="A99:B100"/>
    <mergeCell ref="C99:E100"/>
    <mergeCell ref="F99:I100"/>
    <mergeCell ref="J99:Y99"/>
    <mergeCell ref="Z99:AA99"/>
    <mergeCell ref="AB99:AQ99"/>
    <mergeCell ref="AR99:AS100"/>
    <mergeCell ref="AT99:AT100"/>
    <mergeCell ref="AU99:AV100"/>
    <mergeCell ref="J100:Y100"/>
    <mergeCell ref="AB100:AQ100"/>
    <mergeCell ref="A98:B98"/>
    <mergeCell ref="C98:E98"/>
    <mergeCell ref="F98:I98"/>
    <mergeCell ref="J98:AQ98"/>
    <mergeCell ref="AR98:AV98"/>
    <mergeCell ref="AW94:AX94"/>
    <mergeCell ref="A95:B96"/>
    <mergeCell ref="C95:E96"/>
    <mergeCell ref="F95:I96"/>
    <mergeCell ref="J95:Y95"/>
    <mergeCell ref="Z95:AA95"/>
    <mergeCell ref="AB95:AQ95"/>
    <mergeCell ref="AR95:AS96"/>
    <mergeCell ref="AT95:AT96"/>
    <mergeCell ref="AU95:AV96"/>
    <mergeCell ref="J96:Y96"/>
    <mergeCell ref="AB96:AQ96"/>
    <mergeCell ref="A94:B94"/>
    <mergeCell ref="C94:E94"/>
    <mergeCell ref="F94:I94"/>
    <mergeCell ref="J94:AQ94"/>
    <mergeCell ref="AR94:AV94"/>
    <mergeCell ref="AW87:AX87"/>
    <mergeCell ref="A88:B89"/>
    <mergeCell ref="C88:E89"/>
    <mergeCell ref="F88:I89"/>
    <mergeCell ref="J88:Y88"/>
    <mergeCell ref="Z88:AA88"/>
    <mergeCell ref="AB88:AQ88"/>
    <mergeCell ref="AR88:AS89"/>
    <mergeCell ref="AT88:AT89"/>
    <mergeCell ref="AU88:AV89"/>
    <mergeCell ref="J89:Y89"/>
    <mergeCell ref="AB89:AQ89"/>
    <mergeCell ref="A87:B87"/>
    <mergeCell ref="C87:E87"/>
    <mergeCell ref="F87:I87"/>
    <mergeCell ref="J87:AQ87"/>
    <mergeCell ref="AR87:AV87"/>
    <mergeCell ref="AW83:AX83"/>
    <mergeCell ref="A84:B85"/>
    <mergeCell ref="C84:E85"/>
    <mergeCell ref="F84:I85"/>
    <mergeCell ref="J84:Y84"/>
    <mergeCell ref="Z84:AA84"/>
    <mergeCell ref="AB84:AQ84"/>
    <mergeCell ref="AR84:AS85"/>
    <mergeCell ref="AT84:AT85"/>
    <mergeCell ref="AU84:AV85"/>
    <mergeCell ref="J85:Y85"/>
    <mergeCell ref="AB85:AQ85"/>
    <mergeCell ref="A83:B83"/>
    <mergeCell ref="C83:E83"/>
    <mergeCell ref="F83:I83"/>
    <mergeCell ref="J83:AQ83"/>
    <mergeCell ref="AR83:AV83"/>
    <mergeCell ref="AW79:AX79"/>
    <mergeCell ref="A80:B81"/>
    <mergeCell ref="C80:E81"/>
    <mergeCell ref="F80:I81"/>
    <mergeCell ref="J80:Y80"/>
    <mergeCell ref="Z80:AA80"/>
    <mergeCell ref="AB80:AQ80"/>
    <mergeCell ref="AR80:AS81"/>
    <mergeCell ref="AT80:AT81"/>
    <mergeCell ref="AU80:AV81"/>
    <mergeCell ref="J81:Y81"/>
    <mergeCell ref="AB81:AQ81"/>
    <mergeCell ref="A79:B79"/>
    <mergeCell ref="C79:E79"/>
    <mergeCell ref="F79:I79"/>
    <mergeCell ref="J79:AQ79"/>
    <mergeCell ref="AR79:AV79"/>
    <mergeCell ref="AW75:AX75"/>
    <mergeCell ref="A76:B77"/>
    <mergeCell ref="C76:E77"/>
    <mergeCell ref="F76:I77"/>
    <mergeCell ref="J76:Y76"/>
    <mergeCell ref="Z76:AA76"/>
    <mergeCell ref="AB76:AQ76"/>
    <mergeCell ref="AR76:AS77"/>
    <mergeCell ref="AT76:AT77"/>
    <mergeCell ref="AU76:AV77"/>
    <mergeCell ref="J77:Y77"/>
    <mergeCell ref="AB77:AQ77"/>
    <mergeCell ref="A75:B75"/>
    <mergeCell ref="C75:E75"/>
    <mergeCell ref="F75:I75"/>
    <mergeCell ref="J75:AQ75"/>
    <mergeCell ref="AR75:AV75"/>
    <mergeCell ref="AW71:AX71"/>
    <mergeCell ref="A72:B73"/>
    <mergeCell ref="C72:E73"/>
    <mergeCell ref="F72:I73"/>
    <mergeCell ref="J72:Y72"/>
    <mergeCell ref="Z72:AA72"/>
    <mergeCell ref="AB72:AQ72"/>
    <mergeCell ref="AR72:AS73"/>
    <mergeCell ref="AT72:AT73"/>
    <mergeCell ref="AU72:AV73"/>
    <mergeCell ref="J73:Y73"/>
    <mergeCell ref="AB73:AQ73"/>
    <mergeCell ref="A71:B71"/>
    <mergeCell ref="C71:E71"/>
    <mergeCell ref="F71:I71"/>
    <mergeCell ref="J71:AQ71"/>
    <mergeCell ref="AR71:AV71"/>
    <mergeCell ref="AW67:AX67"/>
    <mergeCell ref="A68:B69"/>
    <mergeCell ref="C68:E69"/>
    <mergeCell ref="F68:I69"/>
    <mergeCell ref="J68:Y68"/>
    <mergeCell ref="Z68:AA68"/>
    <mergeCell ref="AB68:AQ68"/>
    <mergeCell ref="AR68:AS69"/>
    <mergeCell ref="AT68:AT69"/>
    <mergeCell ref="AU68:AV69"/>
    <mergeCell ref="J69:Y69"/>
    <mergeCell ref="AB69:AQ69"/>
    <mergeCell ref="A67:B67"/>
    <mergeCell ref="C67:E67"/>
    <mergeCell ref="F67:I67"/>
    <mergeCell ref="J67:AQ67"/>
    <mergeCell ref="AR67:AV67"/>
    <mergeCell ref="AW63:AX63"/>
    <mergeCell ref="A64:B65"/>
    <mergeCell ref="C64:E65"/>
    <mergeCell ref="F64:I65"/>
    <mergeCell ref="J64:Y64"/>
    <mergeCell ref="Z64:AA64"/>
    <mergeCell ref="AB64:AQ64"/>
    <mergeCell ref="AR64:AS65"/>
    <mergeCell ref="AT64:AT65"/>
    <mergeCell ref="AU64:AV65"/>
    <mergeCell ref="J65:Y65"/>
    <mergeCell ref="AB65:AQ65"/>
    <mergeCell ref="A63:B63"/>
    <mergeCell ref="C63:E63"/>
    <mergeCell ref="F63:I63"/>
    <mergeCell ref="J63:AQ63"/>
    <mergeCell ref="AR63:AV63"/>
    <mergeCell ref="AW59:AX59"/>
    <mergeCell ref="A60:B61"/>
    <mergeCell ref="C60:E61"/>
    <mergeCell ref="F60:I61"/>
    <mergeCell ref="J60:Y60"/>
    <mergeCell ref="Z60:AA60"/>
    <mergeCell ref="AB60:AQ60"/>
    <mergeCell ref="AR60:AS61"/>
    <mergeCell ref="AT60:AT61"/>
    <mergeCell ref="AU60:AV61"/>
    <mergeCell ref="J61:Y61"/>
    <mergeCell ref="AB61:AQ61"/>
    <mergeCell ref="A59:B59"/>
    <mergeCell ref="C59:E59"/>
    <mergeCell ref="F59:I59"/>
    <mergeCell ref="J59:AQ59"/>
    <mergeCell ref="AR59:AV59"/>
    <mergeCell ref="AW55:AX55"/>
    <mergeCell ref="A56:B57"/>
    <mergeCell ref="C56:E57"/>
    <mergeCell ref="F56:I57"/>
    <mergeCell ref="J56:Y56"/>
    <mergeCell ref="Z56:AA56"/>
    <mergeCell ref="AB56:AQ56"/>
    <mergeCell ref="AR56:AS57"/>
    <mergeCell ref="AT56:AT57"/>
    <mergeCell ref="AU56:AV57"/>
    <mergeCell ref="J57:Y57"/>
    <mergeCell ref="AB57:AQ57"/>
    <mergeCell ref="A55:B55"/>
    <mergeCell ref="C55:E55"/>
    <mergeCell ref="F55:I55"/>
    <mergeCell ref="J55:AQ55"/>
    <mergeCell ref="AR55:AV55"/>
    <mergeCell ref="AB52:AQ52"/>
    <mergeCell ref="AR52:AS53"/>
    <mergeCell ref="AT52:AT53"/>
    <mergeCell ref="AU52:AV53"/>
    <mergeCell ref="J53:Y53"/>
    <mergeCell ref="AB53:AQ53"/>
    <mergeCell ref="A52:B53"/>
    <mergeCell ref="C52:E53"/>
    <mergeCell ref="F52:I53"/>
    <mergeCell ref="J52:Y52"/>
    <mergeCell ref="Z52:AA52"/>
    <mergeCell ref="AD48:AF48"/>
    <mergeCell ref="AK48:AO48"/>
    <mergeCell ref="AP48:AT48"/>
    <mergeCell ref="AU48:AW48"/>
    <mergeCell ref="A51:B51"/>
    <mergeCell ref="C51:E51"/>
    <mergeCell ref="F51:I51"/>
    <mergeCell ref="J51:AQ51"/>
    <mergeCell ref="AR51:AV51"/>
    <mergeCell ref="AW51:AX51"/>
    <mergeCell ref="B48:F48"/>
    <mergeCell ref="G48:K48"/>
    <mergeCell ref="L48:N48"/>
    <mergeCell ref="S48:X48"/>
    <mergeCell ref="Y48:AC48"/>
    <mergeCell ref="AU45:AV45"/>
    <mergeCell ref="AW45:AX45"/>
    <mergeCell ref="A46:B46"/>
    <mergeCell ref="C46:O46"/>
    <mergeCell ref="P46:Q46"/>
    <mergeCell ref="R46:S46"/>
    <mergeCell ref="U46:V46"/>
    <mergeCell ref="W46:X46"/>
    <mergeCell ref="AA46:AB46"/>
    <mergeCell ref="AC46:AO46"/>
    <mergeCell ref="AP46:AQ46"/>
    <mergeCell ref="AR46:AS46"/>
    <mergeCell ref="AU46:AV46"/>
    <mergeCell ref="AW46:AX46"/>
    <mergeCell ref="W45:X45"/>
    <mergeCell ref="AA45:AB45"/>
    <mergeCell ref="AC45:AO45"/>
    <mergeCell ref="AP45:AQ45"/>
    <mergeCell ref="AR45:AS45"/>
    <mergeCell ref="A45:B45"/>
    <mergeCell ref="C45:O45"/>
    <mergeCell ref="P45:Q45"/>
    <mergeCell ref="R45:S45"/>
    <mergeCell ref="U45:V45"/>
    <mergeCell ref="AP43:AQ43"/>
    <mergeCell ref="AR43:AV43"/>
    <mergeCell ref="AW43:AX43"/>
    <mergeCell ref="A44:B44"/>
    <mergeCell ref="C44:O44"/>
    <mergeCell ref="P44:Q44"/>
    <mergeCell ref="R44:S44"/>
    <mergeCell ref="U44:V44"/>
    <mergeCell ref="W44:X44"/>
    <mergeCell ref="AA44:AB44"/>
    <mergeCell ref="AC44:AO44"/>
    <mergeCell ref="AP44:AQ44"/>
    <mergeCell ref="AR44:AS44"/>
    <mergeCell ref="AU44:AV44"/>
    <mergeCell ref="AW44:AX44"/>
    <mergeCell ref="A43:O43"/>
    <mergeCell ref="P43:Q43"/>
    <mergeCell ref="R43:V43"/>
    <mergeCell ref="W43:X43"/>
    <mergeCell ref="AA43:AO43"/>
    <mergeCell ref="AU40:AV40"/>
    <mergeCell ref="AW40:AX40"/>
    <mergeCell ref="A41:B41"/>
    <mergeCell ref="C41:O41"/>
    <mergeCell ref="P41:Q41"/>
    <mergeCell ref="R41:S41"/>
    <mergeCell ref="U41:V41"/>
    <mergeCell ref="W41:X41"/>
    <mergeCell ref="AA41:AB41"/>
    <mergeCell ref="AC41:AO41"/>
    <mergeCell ref="AP41:AQ41"/>
    <mergeCell ref="AR41:AS41"/>
    <mergeCell ref="AU41:AV41"/>
    <mergeCell ref="AW41:AX41"/>
    <mergeCell ref="W40:X40"/>
    <mergeCell ref="AA40:AB40"/>
    <mergeCell ref="AC40:AO40"/>
    <mergeCell ref="AP40:AQ40"/>
    <mergeCell ref="AR40:AS40"/>
    <mergeCell ref="A40:B40"/>
    <mergeCell ref="C40:O40"/>
    <mergeCell ref="P40:Q40"/>
    <mergeCell ref="R40:S40"/>
    <mergeCell ref="U40:V40"/>
    <mergeCell ref="AP38:AQ38"/>
    <mergeCell ref="AR38:AV38"/>
    <mergeCell ref="AW38:AX38"/>
    <mergeCell ref="A39:B39"/>
    <mergeCell ref="C39:O39"/>
    <mergeCell ref="P39:Q39"/>
    <mergeCell ref="R39:S39"/>
    <mergeCell ref="U39:V39"/>
    <mergeCell ref="W39:X39"/>
    <mergeCell ref="AA39:AB39"/>
    <mergeCell ref="AC39:AO39"/>
    <mergeCell ref="AP39:AQ39"/>
    <mergeCell ref="AR39:AS39"/>
    <mergeCell ref="AU39:AV39"/>
    <mergeCell ref="AW39:AX39"/>
    <mergeCell ref="A38:O38"/>
    <mergeCell ref="P38:Q38"/>
    <mergeCell ref="R38:V38"/>
    <mergeCell ref="W38:X38"/>
    <mergeCell ref="AA38:AO38"/>
    <mergeCell ref="AS34:AT34"/>
    <mergeCell ref="AU34:AW34"/>
    <mergeCell ref="B35:C35"/>
    <mergeCell ref="D35:H35"/>
    <mergeCell ref="I35:X35"/>
    <mergeCell ref="Z35:AO35"/>
    <mergeCell ref="AP35:AQ35"/>
    <mergeCell ref="AS35:AT35"/>
    <mergeCell ref="AU35:AW35"/>
    <mergeCell ref="B34:C34"/>
    <mergeCell ref="D34:H34"/>
    <mergeCell ref="I34:X34"/>
    <mergeCell ref="Z34:AO34"/>
    <mergeCell ref="AP34:AQ34"/>
    <mergeCell ref="AS32:AT32"/>
    <mergeCell ref="AU32:AW32"/>
    <mergeCell ref="B33:C33"/>
    <mergeCell ref="D33:H33"/>
    <mergeCell ref="I33:X33"/>
    <mergeCell ref="Z33:AO33"/>
    <mergeCell ref="AP33:AQ33"/>
    <mergeCell ref="AS33:AT33"/>
    <mergeCell ref="AU33:AW33"/>
    <mergeCell ref="B32:C32"/>
    <mergeCell ref="D32:H32"/>
    <mergeCell ref="I32:X32"/>
    <mergeCell ref="Z32:AO32"/>
    <mergeCell ref="AP32:AQ32"/>
    <mergeCell ref="AS30:AT30"/>
    <mergeCell ref="AU30:AW30"/>
    <mergeCell ref="B31:C31"/>
    <mergeCell ref="D31:H31"/>
    <mergeCell ref="I31:X31"/>
    <mergeCell ref="Z31:AO31"/>
    <mergeCell ref="AP31:AQ31"/>
    <mergeCell ref="AS31:AT31"/>
    <mergeCell ref="AU31:AW31"/>
    <mergeCell ref="B30:C30"/>
    <mergeCell ref="D30:H30"/>
    <mergeCell ref="I30:X30"/>
    <mergeCell ref="Z30:AO30"/>
    <mergeCell ref="AP30:AQ30"/>
    <mergeCell ref="AS28:AT28"/>
    <mergeCell ref="AU28:AW28"/>
    <mergeCell ref="B29:C29"/>
    <mergeCell ref="D29:H29"/>
    <mergeCell ref="I29:X29"/>
    <mergeCell ref="Z29:AO29"/>
    <mergeCell ref="AP29:AQ29"/>
    <mergeCell ref="AS29:AT29"/>
    <mergeCell ref="AU29:AW29"/>
    <mergeCell ref="B28:C28"/>
    <mergeCell ref="D28:H28"/>
    <mergeCell ref="I28:X28"/>
    <mergeCell ref="Z28:AO28"/>
    <mergeCell ref="AP28:AQ28"/>
    <mergeCell ref="AS26:AT26"/>
    <mergeCell ref="AU26:AW26"/>
    <mergeCell ref="B27:C27"/>
    <mergeCell ref="D27:H27"/>
    <mergeCell ref="I27:X27"/>
    <mergeCell ref="Z27:AO27"/>
    <mergeCell ref="AP27:AQ27"/>
    <mergeCell ref="AS27:AT27"/>
    <mergeCell ref="AU27:AW27"/>
    <mergeCell ref="B26:C26"/>
    <mergeCell ref="D26:H26"/>
    <mergeCell ref="I26:X26"/>
    <mergeCell ref="Z26:AO26"/>
    <mergeCell ref="AP26:AQ26"/>
    <mergeCell ref="AS24:AT24"/>
    <mergeCell ref="AU24:AW24"/>
    <mergeCell ref="B25:C25"/>
    <mergeCell ref="D25:H25"/>
    <mergeCell ref="I25:X25"/>
    <mergeCell ref="Z25:AO25"/>
    <mergeCell ref="AP25:AQ25"/>
    <mergeCell ref="AS25:AT25"/>
    <mergeCell ref="AU25:AW25"/>
    <mergeCell ref="B24:C24"/>
    <mergeCell ref="D24:H24"/>
    <mergeCell ref="I24:X24"/>
    <mergeCell ref="Z24:AO24"/>
    <mergeCell ref="AP24:AQ24"/>
    <mergeCell ref="B23:C23"/>
    <mergeCell ref="D23:H23"/>
    <mergeCell ref="I23:AO23"/>
    <mergeCell ref="AP23:AT23"/>
    <mergeCell ref="AU23:AW23"/>
    <mergeCell ref="A19:B19"/>
    <mergeCell ref="C19:V19"/>
    <mergeCell ref="AC19:AD19"/>
    <mergeCell ref="AE19:AX19"/>
    <mergeCell ref="A20:B20"/>
    <mergeCell ref="C20:V20"/>
    <mergeCell ref="AC20:AD20"/>
    <mergeCell ref="AE20:AX20"/>
    <mergeCell ref="A17:V17"/>
    <mergeCell ref="AC17:AX17"/>
    <mergeCell ref="A18:B18"/>
    <mergeCell ref="C18:V18"/>
    <mergeCell ref="AC18:AD18"/>
    <mergeCell ref="AE18:AX18"/>
    <mergeCell ref="A14:B14"/>
    <mergeCell ref="C14:V14"/>
    <mergeCell ref="AC14:AD14"/>
    <mergeCell ref="AE14:AX14"/>
    <mergeCell ref="A15:B15"/>
    <mergeCell ref="C15:V15"/>
    <mergeCell ref="AC15:AD15"/>
    <mergeCell ref="AE15:AX15"/>
    <mergeCell ref="A12:V12"/>
    <mergeCell ref="AC12:AX12"/>
    <mergeCell ref="A13:B13"/>
    <mergeCell ref="C13:V13"/>
    <mergeCell ref="AC13:AD13"/>
    <mergeCell ref="AE13:AX13"/>
    <mergeCell ref="M6:AL6"/>
    <mergeCell ref="A7:AX7"/>
    <mergeCell ref="B9:F9"/>
    <mergeCell ref="G9:K9"/>
    <mergeCell ref="L9:N9"/>
    <mergeCell ref="S9:X9"/>
    <mergeCell ref="Y9:AC9"/>
    <mergeCell ref="AD9:AF9"/>
    <mergeCell ref="AK9:AO9"/>
    <mergeCell ref="AP9:AT9"/>
    <mergeCell ref="AU9:AW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Deckblatt</vt:lpstr>
      <vt:lpstr>Gruppe A</vt:lpstr>
      <vt:lpstr>Gruppe B</vt:lpstr>
      <vt:lpstr>Gruppe C</vt:lpstr>
      <vt:lpstr>Gruppe D</vt:lpstr>
      <vt:lpstr>Euro-Cup</vt:lpstr>
      <vt:lpstr>Meister-Cup</vt:lpstr>
      <vt:lpstr>Deckblatt!Druckbereich</vt:lpstr>
      <vt:lpstr>'Euro-Cup'!Druckbereich</vt:lpstr>
      <vt:lpstr>'Gruppe A'!Druckbereich</vt:lpstr>
      <vt:lpstr>'Gruppe B'!Druckbereich</vt:lpstr>
      <vt:lpstr>'Gruppe C'!Druckbereich</vt:lpstr>
      <vt:lpstr>'Gruppe D'!Druckbereich</vt:lpstr>
      <vt:lpstr>'Meister-Cup'!Druckbereich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2023-05-13T13:43:31Z</dcterms:modified>
</cp:coreProperties>
</file>